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ml.chartshapes+xml"/>
  <Override PartName="/xl/charts/chart9.xml" ContentType="application/vnd.openxmlformats-officedocument.drawingml.chart+xml"/>
  <Override PartName="/xl/drawings/drawing6.xml" ContentType="application/vnd.openxmlformats-officedocument.drawingml.chartshapes+xml"/>
  <Override PartName="/xl/charts/chart10.xml" ContentType="application/vnd.openxmlformats-officedocument.drawingml.chart+xml"/>
  <Override PartName="/xl/drawings/drawing7.xml" ContentType="application/vnd.openxmlformats-officedocument.drawingml.chartshapes+xml"/>
  <Override PartName="/xl/charts/chart11.xml" ContentType="application/vnd.openxmlformats-officedocument.drawingml.chart+xml"/>
  <Override PartName="/xl/drawings/drawing8.xml" ContentType="application/vnd.openxmlformats-officedocument.drawingml.chartshapes+xml"/>
  <Override PartName="/xl/charts/chart12.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omments2.xml" ContentType="application/vnd.openxmlformats-officedocument.spreadsheetml.comments+xml"/>
  <Override PartName="/xl/charts/chart13.xml" ContentType="application/vnd.openxmlformats-officedocument.drawingml.chart+xml"/>
  <Override PartName="/xl/drawings/drawing11.xml" ContentType="application/vnd.openxmlformats-officedocument.drawingml.chartshapes+xml"/>
  <Override PartName="/xl/charts/chart14.xml" ContentType="application/vnd.openxmlformats-officedocument.drawingml.chart+xml"/>
  <Override PartName="/xl/drawings/drawing12.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13.xml" ContentType="application/vnd.openxmlformats-officedocument.drawingml.chartshapes+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14.xml" ContentType="application/vnd.openxmlformats-officedocument.drawingml.chartshapes+xml"/>
  <Override PartName="/xl/charts/chart21.xml" ContentType="application/vnd.openxmlformats-officedocument.drawingml.chart+xml"/>
  <Override PartName="/xl/drawings/drawing15.xml" ContentType="application/vnd.openxmlformats-officedocument.drawingml.chartshapes+xml"/>
  <Override PartName="/xl/charts/chart22.xml" ContentType="application/vnd.openxmlformats-officedocument.drawingml.chart+xml"/>
  <Override PartName="/xl/drawings/drawing16.xml" ContentType="application/vnd.openxmlformats-officedocument.drawingml.chartshapes+xml"/>
  <Override PartName="/xl/charts/chart23.xml" ContentType="application/vnd.openxmlformats-officedocument.drawingml.chart+xml"/>
  <Override PartName="/xl/drawings/drawing17.xml" ContentType="application/vnd.openxmlformats-officedocument.drawingml.chartshapes+xml"/>
  <Override PartName="/xl/charts/chart24.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20.xml" ContentType="application/vnd.openxmlformats-officedocument.drawing+xml"/>
  <Override PartName="/xl/comments5.xml" ContentType="application/vnd.openxmlformats-officedocument.spreadsheetml.comments+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21.xml" ContentType="application/vnd.openxmlformats-officedocument.drawing+xml"/>
  <Override PartName="/xl/comments6.xml" ContentType="application/vnd.openxmlformats-officedocument.spreadsheetml.comments+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24226"/>
  <mc:AlternateContent xmlns:mc="http://schemas.openxmlformats.org/markup-compatibility/2006">
    <mc:Choice Requires="x15">
      <x15ac:absPath xmlns:x15ac="http://schemas.microsoft.com/office/spreadsheetml/2010/11/ac" url="A:\Projetos\Projeto T&amp;C&amp;A\2019\3 - Sertin\Projeto Calibração em Espectrofotometria\Fase 3 - Implantação Técnica\"/>
    </mc:Choice>
  </mc:AlternateContent>
  <xr:revisionPtr revIDLastSave="0" documentId="13_ncr:1_{955AD914-B03E-43A7-9B90-0A55A770B920}" xr6:coauthVersionLast="47" xr6:coauthVersionMax="47" xr10:uidLastSave="{00000000-0000-0000-0000-000000000000}"/>
  <bookViews>
    <workbookView xWindow="-21720" yWindow="-2175" windowWidth="21840" windowHeight="13140" firstSheet="7" activeTab="8" xr2:uid="{00000000-000D-0000-FFFF-FFFF00000000}"/>
  </bookViews>
  <sheets>
    <sheet name="Registro Original" sheetId="13" r:id="rId1"/>
    <sheet name="Registro Tratado" sheetId="23" r:id="rId2"/>
    <sheet name="Certificado" sheetId="19" r:id="rId3"/>
    <sheet name="Incerteza Lambda" sheetId="20" r:id="rId4"/>
    <sheet name="Incerteza Absorbância" sheetId="15" r:id="rId5"/>
    <sheet name="Cadastro - Padrões Lambda" sheetId="18" r:id="rId6"/>
    <sheet name="Cadastro - Padrões Absorbância" sheetId="16" r:id="rId7"/>
    <sheet name="CMC Lambda" sheetId="24" r:id="rId8"/>
    <sheet name="CMC Absorbância" sheetId="25" r:id="rId9"/>
    <sheet name="Notas &amp; Processo Tratamento" sheetId="21" r:id="rId10"/>
    <sheet name="Evolução da Planilha" sheetId="14" r:id="rId11"/>
    <sheet name="2 Grandesa" sheetId="3" state="hidden" r:id="rId12"/>
  </sheets>
  <definedNames>
    <definedName name="Absorbâncias_Nominais" localSheetId="8">'CMC Absorbância'!$AK$10:$AK$12</definedName>
    <definedName name="Absorbâncias_Nominais">'Incerteza Absorbância'!$AK$10:$AK$12</definedName>
    <definedName name="_xlnm.Print_Area" localSheetId="11">'2 Grandesa'!$A$1:$I$51</definedName>
    <definedName name="_xlnm.Print_Area" localSheetId="2">Certificado!$A$1:$AH$149</definedName>
    <definedName name="_xlnm.Print_Area" localSheetId="0">'Registro Original'!$D$1:$L$327</definedName>
    <definedName name="_xlnm.Print_Area" localSheetId="1">'Registro Tratado'!$D$1:$L$327</definedName>
    <definedName name="Larguras_de_Banda_Calibradas" localSheetId="7">'CMC Lambda'!#REF!</definedName>
    <definedName name="Larguras_de_Banda_Calibradas">'Incerteza Lambda'!#REF!</definedName>
    <definedName name="Larguras_de_Banda_Calibradas___A" localSheetId="8">'CMC Absorbância'!$AJ$10:$AJ$11</definedName>
    <definedName name="Larguras_de_Banda_Calibradas___A">'Incerteza Absorbância'!$AJ$10:$AJ$11</definedName>
    <definedName name="Larguras_de_Banda_Típicas">Certificado!$AV$17:$AV$26</definedName>
    <definedName name="solver_adj" localSheetId="1" hidden="1">'Registro Tratado'!$AA$59</definedName>
    <definedName name="solver_cvg" localSheetId="9" hidden="1">0.0001</definedName>
    <definedName name="solver_cvg" localSheetId="1" hidden="1">0.0001</definedName>
    <definedName name="solver_drv" localSheetId="9" hidden="1">2</definedName>
    <definedName name="solver_drv" localSheetId="1" hidden="1">1</definedName>
    <definedName name="solver_eng" localSheetId="9" hidden="1">1</definedName>
    <definedName name="solver_eng" localSheetId="1" hidden="1">1</definedName>
    <definedName name="solver_est" localSheetId="9" hidden="1">1</definedName>
    <definedName name="solver_est" localSheetId="1" hidden="1">1</definedName>
    <definedName name="solver_itr" localSheetId="9" hidden="1">2147483647</definedName>
    <definedName name="solver_itr" localSheetId="1" hidden="1">2147483647</definedName>
    <definedName name="solver_lhs1" localSheetId="1" hidden="1">'Registro Tratado'!$AA$59</definedName>
    <definedName name="solver_lhs2" localSheetId="1" hidden="1">'Registro Tratado'!$AA$84</definedName>
    <definedName name="solver_lhs3" localSheetId="1" hidden="1">'Registro Tratado'!$V$59</definedName>
    <definedName name="solver_lhs4" localSheetId="1" hidden="1">'Registro Tratado'!$V$59</definedName>
    <definedName name="solver_mip" localSheetId="9" hidden="1">2147483647</definedName>
    <definedName name="solver_mip" localSheetId="1" hidden="1">2147483647</definedName>
    <definedName name="solver_mni" localSheetId="9" hidden="1">30</definedName>
    <definedName name="solver_mni" localSheetId="1" hidden="1">30</definedName>
    <definedName name="solver_mrt" localSheetId="9" hidden="1">0.075</definedName>
    <definedName name="solver_mrt" localSheetId="1" hidden="1">0.075</definedName>
    <definedName name="solver_msl" localSheetId="9" hidden="1">2</definedName>
    <definedName name="solver_msl" localSheetId="1" hidden="1">1</definedName>
    <definedName name="solver_neg" localSheetId="9" hidden="1">1</definedName>
    <definedName name="solver_neg" localSheetId="1" hidden="1">1</definedName>
    <definedName name="solver_nod" localSheetId="9" hidden="1">2147483647</definedName>
    <definedName name="solver_nod" localSheetId="1" hidden="1">2147483647</definedName>
    <definedName name="solver_num" localSheetId="9" hidden="1">0</definedName>
    <definedName name="solver_num" localSheetId="1" hidden="1">2</definedName>
    <definedName name="solver_nwt" localSheetId="9" hidden="1">1</definedName>
    <definedName name="solver_nwt" localSheetId="1" hidden="1">1</definedName>
    <definedName name="solver_opt" localSheetId="9" hidden="1">'Notas &amp; Processo Tratamento'!$J$14</definedName>
    <definedName name="solver_opt" localSheetId="1" hidden="1">'Registro Tratado'!$AA$61</definedName>
    <definedName name="solver_pre" localSheetId="9" hidden="1">0.000001</definedName>
    <definedName name="solver_pre" localSheetId="1" hidden="1">0.000001</definedName>
    <definedName name="solver_rbv" localSheetId="9" hidden="1">2</definedName>
    <definedName name="solver_rbv" localSheetId="1" hidden="1">1</definedName>
    <definedName name="solver_rel1" localSheetId="1" hidden="1">1</definedName>
    <definedName name="solver_rel2" localSheetId="1" hidden="1">3</definedName>
    <definedName name="solver_rel3" localSheetId="1" hidden="1">3</definedName>
    <definedName name="solver_rel4" localSheetId="1" hidden="1">3</definedName>
    <definedName name="solver_rhs1" localSheetId="1" hidden="1">639</definedName>
    <definedName name="solver_rhs2" localSheetId="1" hidden="1">637</definedName>
    <definedName name="solver_rhs3" localSheetId="1" hidden="1">635</definedName>
    <definedName name="solver_rhs4" localSheetId="1" hidden="1">635</definedName>
    <definedName name="solver_rlx" localSheetId="9" hidden="1">2</definedName>
    <definedName name="solver_rlx" localSheetId="1" hidden="1">2</definedName>
    <definedName name="solver_rsd" localSheetId="9" hidden="1">0</definedName>
    <definedName name="solver_rsd" localSheetId="1" hidden="1">0</definedName>
    <definedName name="solver_scl" localSheetId="9" hidden="1">2</definedName>
    <definedName name="solver_scl" localSheetId="1" hidden="1">1</definedName>
    <definedName name="solver_sho" localSheetId="9" hidden="1">2</definedName>
    <definedName name="solver_sho" localSheetId="1" hidden="1">1</definedName>
    <definedName name="solver_ssz" localSheetId="9" hidden="1">100</definedName>
    <definedName name="solver_ssz" localSheetId="1" hidden="1">100</definedName>
    <definedName name="solver_tim" localSheetId="9" hidden="1">2147483647</definedName>
    <definedName name="solver_tim" localSheetId="1" hidden="1">2147483647</definedName>
    <definedName name="solver_tol" localSheetId="9" hidden="1">0.01</definedName>
    <definedName name="solver_tol" localSheetId="1" hidden="1">0.01</definedName>
    <definedName name="solver_typ" localSheetId="9" hidden="1">1</definedName>
    <definedName name="solver_typ" localSheetId="1" hidden="1">3</definedName>
    <definedName name="solver_val" localSheetId="9" hidden="1">0</definedName>
    <definedName name="solver_val" localSheetId="1" hidden="1">0</definedName>
    <definedName name="solver_ver" localSheetId="9" hidden="1">3</definedName>
    <definedName name="solver_ver" localSheetId="1" hidden="1">3</definedName>
    <definedName name="Tipo_de_Detecção">Certificado!$AU$17:$AU$18</definedName>
    <definedName name="Tipo_de_Espectrofotômetro">Certificado!$AT$17:$AT$18</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13" i="24" l="1"/>
  <c r="I13" i="24"/>
  <c r="J13" i="24"/>
  <c r="K13" i="24"/>
  <c r="L13" i="24"/>
  <c r="M13" i="24"/>
  <c r="N13" i="24"/>
  <c r="O13" i="24"/>
  <c r="P13" i="24"/>
  <c r="Q13" i="24"/>
  <c r="G13" i="24"/>
  <c r="H14" i="24"/>
  <c r="I14" i="24"/>
  <c r="J14" i="24"/>
  <c r="K14" i="24"/>
  <c r="L14" i="24"/>
  <c r="M14" i="24"/>
  <c r="N14" i="24"/>
  <c r="O14" i="24"/>
  <c r="P14" i="24"/>
  <c r="Q14" i="24"/>
  <c r="G14" i="24"/>
  <c r="D7" i="23"/>
  <c r="H12" i="25"/>
  <c r="I12" i="25"/>
  <c r="J12" i="25"/>
  <c r="K12" i="25"/>
  <c r="G12" i="25"/>
  <c r="H38" i="25"/>
  <c r="I38" i="25"/>
  <c r="J38" i="25"/>
  <c r="K38" i="25"/>
  <c r="G38" i="25"/>
  <c r="H25" i="25"/>
  <c r="I25" i="25"/>
  <c r="J25" i="25"/>
  <c r="K25" i="25"/>
  <c r="G25" i="25"/>
  <c r="K80" i="15"/>
  <c r="J80" i="15"/>
  <c r="I80" i="15"/>
  <c r="H80" i="15"/>
  <c r="G80" i="15"/>
  <c r="K67" i="15"/>
  <c r="J67" i="15"/>
  <c r="I67" i="15"/>
  <c r="H67" i="15"/>
  <c r="G67" i="15"/>
  <c r="K54" i="15"/>
  <c r="J54" i="15"/>
  <c r="I54" i="15"/>
  <c r="H54" i="15"/>
  <c r="G54" i="15"/>
  <c r="K38" i="15"/>
  <c r="J38" i="15"/>
  <c r="I38" i="15"/>
  <c r="H38" i="15"/>
  <c r="G38" i="15"/>
  <c r="K25" i="15"/>
  <c r="J25" i="15"/>
  <c r="I25" i="15"/>
  <c r="H25" i="15"/>
  <c r="G25" i="15"/>
  <c r="R396" i="23"/>
  <c r="Q396" i="23"/>
  <c r="P396" i="23"/>
  <c r="O396" i="23"/>
  <c r="N396" i="23"/>
  <c r="R383" i="23"/>
  <c r="Q383" i="23"/>
  <c r="P383" i="23"/>
  <c r="O383" i="23"/>
  <c r="N383" i="23"/>
  <c r="R370" i="23"/>
  <c r="Q370" i="23"/>
  <c r="P370" i="23"/>
  <c r="O370" i="23"/>
  <c r="N370" i="23"/>
  <c r="H12" i="24"/>
  <c r="I12" i="24"/>
  <c r="J12" i="24"/>
  <c r="K12" i="24"/>
  <c r="L12" i="24"/>
  <c r="M12" i="24"/>
  <c r="N12" i="24"/>
  <c r="O12" i="24"/>
  <c r="P12" i="24"/>
  <c r="Q12" i="24"/>
  <c r="G12" i="24"/>
  <c r="AT20" i="20"/>
  <c r="AQ16" i="20"/>
  <c r="Q13" i="20"/>
  <c r="P13" i="20"/>
  <c r="O13" i="20"/>
  <c r="N13" i="20"/>
  <c r="M13" i="20"/>
  <c r="V175" i="23"/>
  <c r="L13" i="20"/>
  <c r="V190" i="23"/>
  <c r="AU13" i="20" l="1"/>
  <c r="AT13" i="20"/>
  <c r="AS13" i="20"/>
  <c r="AR13" i="20"/>
  <c r="AQ13" i="20"/>
  <c r="AP13" i="20"/>
  <c r="AO13" i="20"/>
  <c r="K13" i="20"/>
  <c r="AN13" i="20"/>
  <c r="J13" i="20"/>
  <c r="AM13" i="20"/>
  <c r="I13" i="20"/>
  <c r="AL13" i="20"/>
  <c r="H13" i="20"/>
  <c r="AK13" i="20"/>
  <c r="G13" i="20"/>
  <c r="AU12" i="20"/>
  <c r="AT12" i="20"/>
  <c r="AS12" i="20"/>
  <c r="AR12" i="20"/>
  <c r="AQ12" i="20"/>
  <c r="AP12" i="20"/>
  <c r="AO12" i="20"/>
  <c r="AN12" i="20"/>
  <c r="AM12" i="20"/>
  <c r="AL12" i="20"/>
  <c r="AK12" i="20"/>
  <c r="AB376" i="23"/>
  <c r="AB375" i="23"/>
  <c r="AB374" i="23"/>
  <c r="AB373" i="23"/>
  <c r="AB372" i="23"/>
  <c r="AB371" i="23"/>
  <c r="AB370" i="23"/>
  <c r="AB369" i="23"/>
  <c r="AB368" i="23"/>
  <c r="AB367" i="23"/>
  <c r="AB366" i="23"/>
  <c r="K45" i="23"/>
  <c r="J14" i="20" s="1"/>
  <c r="Q12" i="20"/>
  <c r="Z375" i="23"/>
  <c r="Z374" i="23"/>
  <c r="Z373" i="23"/>
  <c r="Z372" i="23"/>
  <c r="Z371" i="23"/>
  <c r="Z370" i="23"/>
  <c r="Z369" i="23"/>
  <c r="Z368" i="23"/>
  <c r="Z367" i="23"/>
  <c r="Z366" i="23"/>
  <c r="Z376" i="23"/>
  <c r="X376" i="23"/>
  <c r="X375" i="23"/>
  <c r="X374" i="23"/>
  <c r="X373" i="23"/>
  <c r="X372" i="23"/>
  <c r="X371" i="23"/>
  <c r="X370" i="23"/>
  <c r="X369" i="23"/>
  <c r="X368" i="23"/>
  <c r="X367" i="23"/>
  <c r="X366" i="23"/>
  <c r="G12" i="20"/>
  <c r="AC343" i="23"/>
  <c r="AC344" i="23" s="1"/>
  <c r="AC346" i="23" s="1"/>
  <c r="AC345" i="23"/>
  <c r="AC341" i="23"/>
  <c r="AC342" i="23" s="1"/>
  <c r="AC333" i="23"/>
  <c r="AC335" i="23"/>
  <c r="AC334" i="23"/>
  <c r="AC336" i="23" s="1"/>
  <c r="AC331" i="23"/>
  <c r="AC332" i="23" s="1"/>
  <c r="AC318" i="23"/>
  <c r="AC319" i="23" s="1"/>
  <c r="AC321" i="23" s="1"/>
  <c r="AC320" i="23"/>
  <c r="AC316" i="23"/>
  <c r="AC317" i="23" s="1"/>
  <c r="AC308" i="23"/>
  <c r="AC310" i="23"/>
  <c r="AC306" i="23"/>
  <c r="AC307" i="23" s="1"/>
  <c r="AC293" i="23"/>
  <c r="AC295" i="23"/>
  <c r="AC291" i="23"/>
  <c r="AC292" i="23" s="1"/>
  <c r="AC283" i="23"/>
  <c r="AC285" i="23"/>
  <c r="AC281" i="23"/>
  <c r="AC282" i="23" s="1"/>
  <c r="AC268" i="23"/>
  <c r="AC270" i="23"/>
  <c r="AC266" i="23"/>
  <c r="AC267" i="23" s="1"/>
  <c r="AC258" i="23"/>
  <c r="AC260" i="23"/>
  <c r="AC256" i="23"/>
  <c r="AC257" i="23" s="1"/>
  <c r="AC243" i="23"/>
  <c r="AC244" i="23" s="1"/>
  <c r="AC246" i="23" s="1"/>
  <c r="AC245" i="23"/>
  <c r="AC241" i="23"/>
  <c r="AC242" i="23" s="1"/>
  <c r="AC233" i="23"/>
  <c r="AC235" i="23"/>
  <c r="AC231" i="23"/>
  <c r="AC232" i="23" s="1"/>
  <c r="AC218" i="23"/>
  <c r="AC220" i="23"/>
  <c r="AC216" i="23"/>
  <c r="AC217" i="23" s="1"/>
  <c r="AC208" i="23"/>
  <c r="AC210" i="23"/>
  <c r="AC206" i="23"/>
  <c r="AC207" i="23" s="1"/>
  <c r="AC193" i="23"/>
  <c r="AC195" i="23"/>
  <c r="AC194" i="23"/>
  <c r="AC196" i="23" s="1"/>
  <c r="AC192" i="23"/>
  <c r="AC191" i="23"/>
  <c r="AC183" i="23"/>
  <c r="AC184" i="23" s="1"/>
  <c r="AC186" i="23" s="1"/>
  <c r="AC185" i="23"/>
  <c r="AC181" i="23"/>
  <c r="AC182" i="23" s="1"/>
  <c r="AC168" i="23"/>
  <c r="AC170" i="23"/>
  <c r="AC166" i="23"/>
  <c r="AC167" i="23" s="1"/>
  <c r="AC158" i="23"/>
  <c r="AC160" i="23"/>
  <c r="AC156" i="23"/>
  <c r="AC157" i="23" s="1"/>
  <c r="AC143" i="23"/>
  <c r="AC145" i="23"/>
  <c r="AC141" i="23"/>
  <c r="AC142" i="23" s="1"/>
  <c r="AC133" i="23"/>
  <c r="AC134" i="23" s="1"/>
  <c r="AC136" i="23" s="1"/>
  <c r="AC135" i="23"/>
  <c r="AC131" i="23"/>
  <c r="AC132" i="23" s="1"/>
  <c r="AC118" i="23"/>
  <c r="AC108" i="23"/>
  <c r="AC120" i="23"/>
  <c r="AC116" i="23"/>
  <c r="AC117" i="23" s="1"/>
  <c r="AC110" i="23"/>
  <c r="AC106" i="23"/>
  <c r="AC107" i="23" s="1"/>
  <c r="AC93" i="23"/>
  <c r="AC94" i="23" s="1"/>
  <c r="AC96" i="23" s="1"/>
  <c r="AC95" i="23"/>
  <c r="AC92" i="23"/>
  <c r="AC91" i="23"/>
  <c r="AC85" i="23"/>
  <c r="AC84" i="23"/>
  <c r="AC86" i="23" s="1"/>
  <c r="AC81" i="23"/>
  <c r="AC82" i="23" s="1"/>
  <c r="AC83" i="23"/>
  <c r="AC70" i="23"/>
  <c r="AC69" i="23"/>
  <c r="AC68" i="23"/>
  <c r="AC66" i="23"/>
  <c r="AC67" i="23" s="1"/>
  <c r="AC61" i="23"/>
  <c r="AC60" i="23"/>
  <c r="AC59" i="23"/>
  <c r="AC57" i="23"/>
  <c r="AC56" i="23"/>
  <c r="U13" i="24"/>
  <c r="AH13" i="24"/>
  <c r="O12" i="25"/>
  <c r="AC12" i="24"/>
  <c r="AD12" i="24"/>
  <c r="AH12" i="24"/>
  <c r="O81" i="25"/>
  <c r="O80" i="25"/>
  <c r="O79" i="25"/>
  <c r="O68" i="25"/>
  <c r="O67" i="25"/>
  <c r="O66" i="25"/>
  <c r="O55" i="25"/>
  <c r="O54" i="25"/>
  <c r="O53" i="25"/>
  <c r="O39" i="25"/>
  <c r="O37" i="25"/>
  <c r="U25" i="25"/>
  <c r="X67" i="25"/>
  <c r="U12" i="24"/>
  <c r="AE13" i="24"/>
  <c r="AE12" i="24"/>
  <c r="K81" i="25"/>
  <c r="J81" i="25"/>
  <c r="I81" i="25"/>
  <c r="H81" i="25"/>
  <c r="G81" i="25"/>
  <c r="AC80" i="25"/>
  <c r="AB80" i="25"/>
  <c r="Y80" i="25"/>
  <c r="K80" i="25"/>
  <c r="J80" i="25"/>
  <c r="I80" i="25"/>
  <c r="H80" i="25"/>
  <c r="G80" i="25"/>
  <c r="X78" i="25"/>
  <c r="K78" i="25"/>
  <c r="H78" i="25"/>
  <c r="U78" i="25" s="1"/>
  <c r="G78" i="25"/>
  <c r="T78" i="25" s="1"/>
  <c r="T74" i="25"/>
  <c r="S74" i="25"/>
  <c r="P74" i="25"/>
  <c r="O74" i="25"/>
  <c r="I74" i="25"/>
  <c r="AA80" i="25" s="1"/>
  <c r="K68" i="25"/>
  <c r="J68" i="25"/>
  <c r="I68" i="25"/>
  <c r="H68" i="25"/>
  <c r="G68" i="25"/>
  <c r="AC67" i="25"/>
  <c r="AB67" i="25"/>
  <c r="Z67" i="25"/>
  <c r="Y67" i="25"/>
  <c r="K67" i="25"/>
  <c r="J67" i="25"/>
  <c r="I67" i="25"/>
  <c r="H67" i="25"/>
  <c r="G67" i="25"/>
  <c r="K65" i="25"/>
  <c r="X65" i="25" s="1"/>
  <c r="I65" i="25"/>
  <c r="V65" i="25" s="1"/>
  <c r="H65" i="25"/>
  <c r="U65" i="25" s="1"/>
  <c r="G65" i="25"/>
  <c r="T65" i="25" s="1"/>
  <c r="W61" i="25"/>
  <c r="T61" i="25"/>
  <c r="S61" i="25"/>
  <c r="Q61" i="25"/>
  <c r="P61" i="25"/>
  <c r="O61" i="25"/>
  <c r="I61" i="25"/>
  <c r="AA67" i="25" s="1"/>
  <c r="K55" i="25"/>
  <c r="X55" i="25" s="1"/>
  <c r="J55" i="25"/>
  <c r="I55" i="25"/>
  <c r="H55" i="25"/>
  <c r="G55" i="25"/>
  <c r="Z54" i="25"/>
  <c r="Y54" i="25"/>
  <c r="K54" i="25"/>
  <c r="J54" i="25"/>
  <c r="I54" i="25"/>
  <c r="V54" i="25" s="1"/>
  <c r="H54" i="25"/>
  <c r="G54" i="25"/>
  <c r="I52" i="25"/>
  <c r="V52" i="25" s="1"/>
  <c r="T48" i="25"/>
  <c r="R48" i="25"/>
  <c r="I48" i="25"/>
  <c r="K39" i="25"/>
  <c r="J39" i="25"/>
  <c r="I39" i="25"/>
  <c r="H39" i="25"/>
  <c r="G39" i="25"/>
  <c r="AB38" i="25"/>
  <c r="W38" i="25"/>
  <c r="AD32" i="25"/>
  <c r="G37" i="25" s="1"/>
  <c r="T37" i="25" s="1"/>
  <c r="AA32" i="25"/>
  <c r="K36" i="25" s="1"/>
  <c r="X36" i="25" s="1"/>
  <c r="I32" i="25"/>
  <c r="O26" i="25"/>
  <c r="K26" i="25"/>
  <c r="X26" i="25" s="1"/>
  <c r="J26" i="25"/>
  <c r="I26" i="25"/>
  <c r="V26" i="25" s="1"/>
  <c r="H26" i="25"/>
  <c r="G26" i="25"/>
  <c r="AB25" i="25"/>
  <c r="AA25" i="25"/>
  <c r="O24" i="25"/>
  <c r="K24" i="25"/>
  <c r="X24" i="25" s="1"/>
  <c r="I24" i="25"/>
  <c r="V24" i="25" s="1"/>
  <c r="AD19" i="25"/>
  <c r="J24" i="25" s="1"/>
  <c r="W19" i="25"/>
  <c r="I19" i="25"/>
  <c r="AC25" i="25" s="1"/>
  <c r="W13" i="25"/>
  <c r="O13" i="25"/>
  <c r="U39" i="25" s="1"/>
  <c r="K13" i="25"/>
  <c r="J13" i="25"/>
  <c r="I13" i="25"/>
  <c r="V13" i="25" s="1"/>
  <c r="H13" i="25"/>
  <c r="U13" i="25" s="1"/>
  <c r="G13" i="25"/>
  <c r="AC12" i="25"/>
  <c r="AB12" i="25"/>
  <c r="Z12" i="25"/>
  <c r="Y12" i="25"/>
  <c r="X12" i="25"/>
  <c r="T12" i="25"/>
  <c r="W12" i="25"/>
  <c r="V12" i="25"/>
  <c r="U12" i="25"/>
  <c r="O11" i="25"/>
  <c r="W6" i="25"/>
  <c r="I6" i="25"/>
  <c r="AA12" i="25" s="1"/>
  <c r="U14" i="24"/>
  <c r="AJ14" i="24"/>
  <c r="AI14" i="24"/>
  <c r="AH14" i="24"/>
  <c r="AG14" i="24"/>
  <c r="AF14" i="24"/>
  <c r="AE14" i="24"/>
  <c r="AD14" i="24"/>
  <c r="AC14" i="24"/>
  <c r="AB14" i="24"/>
  <c r="AA14" i="24"/>
  <c r="Z14" i="24"/>
  <c r="AU13" i="24"/>
  <c r="AT13" i="24"/>
  <c r="AS13" i="24"/>
  <c r="AR13" i="24"/>
  <c r="AQ13" i="24"/>
  <c r="AP13" i="24"/>
  <c r="AO13" i="24"/>
  <c r="AN13" i="24"/>
  <c r="AM13" i="24"/>
  <c r="AL13" i="24"/>
  <c r="AK13" i="24"/>
  <c r="AD13" i="24"/>
  <c r="AA13" i="24"/>
  <c r="AJ13" i="24"/>
  <c r="AG13" i="24"/>
  <c r="AF13" i="24"/>
  <c r="AC13" i="24"/>
  <c r="AB13" i="24"/>
  <c r="AU12" i="24"/>
  <c r="AT12" i="24"/>
  <c r="AS12" i="24"/>
  <c r="AR12" i="24"/>
  <c r="AQ12" i="24"/>
  <c r="AP12" i="24"/>
  <c r="AO12" i="24"/>
  <c r="AN12" i="24"/>
  <c r="AM12" i="24"/>
  <c r="AL12" i="24"/>
  <c r="AK12" i="24"/>
  <c r="AJ12" i="24"/>
  <c r="AI12" i="24"/>
  <c r="AF12" i="24"/>
  <c r="AB12" i="24"/>
  <c r="AA12" i="24"/>
  <c r="AG12" i="24"/>
  <c r="Z12" i="24"/>
  <c r="AH11" i="24"/>
  <c r="AG11" i="24"/>
  <c r="AD11" i="24"/>
  <c r="AC11" i="24"/>
  <c r="Z11" i="24"/>
  <c r="Q11" i="24"/>
  <c r="AJ11" i="24" s="1"/>
  <c r="P11" i="24"/>
  <c r="AI11" i="24" s="1"/>
  <c r="O11" i="24"/>
  <c r="N11" i="24"/>
  <c r="M11" i="24"/>
  <c r="AF11" i="24" s="1"/>
  <c r="L11" i="24"/>
  <c r="AE11" i="24" s="1"/>
  <c r="K11" i="24"/>
  <c r="J11" i="24"/>
  <c r="I11" i="24"/>
  <c r="AB11" i="24" s="1"/>
  <c r="H11" i="24"/>
  <c r="AA11" i="24" s="1"/>
  <c r="G11" i="24"/>
  <c r="AB6" i="24"/>
  <c r="Q10" i="24" s="1"/>
  <c r="AA6" i="24"/>
  <c r="P10" i="24" s="1"/>
  <c r="Z6" i="24"/>
  <c r="O10" i="24" s="1"/>
  <c r="Y6" i="24"/>
  <c r="N10" i="24" s="1"/>
  <c r="X6" i="24"/>
  <c r="M10" i="24" s="1"/>
  <c r="W6" i="24"/>
  <c r="L10" i="24" s="1"/>
  <c r="V6" i="24"/>
  <c r="K10" i="24" s="1"/>
  <c r="U6" i="24"/>
  <c r="J10" i="24" s="1"/>
  <c r="T6" i="24"/>
  <c r="I10" i="24" s="1"/>
  <c r="S6" i="24"/>
  <c r="H10" i="24" s="1"/>
  <c r="R6" i="24"/>
  <c r="G10" i="24" s="1"/>
  <c r="N6" i="24"/>
  <c r="F102" i="23"/>
  <c r="F103" i="23"/>
  <c r="F104" i="23"/>
  <c r="F105" i="23"/>
  <c r="F106" i="23"/>
  <c r="F107" i="23"/>
  <c r="F108" i="23"/>
  <c r="F109" i="23"/>
  <c r="F110" i="23"/>
  <c r="F111" i="23"/>
  <c r="F112" i="23"/>
  <c r="F113" i="23"/>
  <c r="F114" i="23"/>
  <c r="F115" i="23"/>
  <c r="F116" i="23"/>
  <c r="F117" i="23"/>
  <c r="F118" i="23"/>
  <c r="F119" i="23"/>
  <c r="F120" i="23"/>
  <c r="F121" i="23"/>
  <c r="F122" i="23"/>
  <c r="F123" i="23"/>
  <c r="F124" i="23"/>
  <c r="F125" i="23"/>
  <c r="F126" i="23"/>
  <c r="F127" i="23"/>
  <c r="F128" i="23"/>
  <c r="F129" i="23"/>
  <c r="F130" i="23"/>
  <c r="F131" i="23"/>
  <c r="F132" i="23"/>
  <c r="F133" i="23"/>
  <c r="F134" i="23"/>
  <c r="F135" i="23"/>
  <c r="F136" i="23"/>
  <c r="F137" i="23"/>
  <c r="F138" i="23"/>
  <c r="F139" i="23"/>
  <c r="F140" i="23"/>
  <c r="F141" i="23"/>
  <c r="F142" i="23"/>
  <c r="F143" i="23"/>
  <c r="F144" i="23"/>
  <c r="F145" i="23"/>
  <c r="F146" i="23"/>
  <c r="F147" i="23"/>
  <c r="F148" i="23"/>
  <c r="F149" i="23"/>
  <c r="F150" i="23"/>
  <c r="F151" i="23"/>
  <c r="F152" i="23"/>
  <c r="F153" i="23"/>
  <c r="F154" i="23"/>
  <c r="F155" i="23"/>
  <c r="F156" i="23"/>
  <c r="F157" i="23"/>
  <c r="F158" i="23"/>
  <c r="F159" i="23"/>
  <c r="F160" i="23"/>
  <c r="F161" i="23"/>
  <c r="F162" i="23"/>
  <c r="F163" i="23"/>
  <c r="F164" i="23"/>
  <c r="F165" i="23"/>
  <c r="F166" i="23"/>
  <c r="F167" i="23"/>
  <c r="F168" i="23"/>
  <c r="F169" i="23"/>
  <c r="F170" i="23"/>
  <c r="F171" i="23"/>
  <c r="F172" i="23"/>
  <c r="F173" i="23"/>
  <c r="F174" i="23"/>
  <c r="F175" i="23"/>
  <c r="F176" i="23"/>
  <c r="F177" i="23"/>
  <c r="F178" i="23"/>
  <c r="F179" i="23"/>
  <c r="F180" i="23"/>
  <c r="F181" i="23"/>
  <c r="F182" i="23"/>
  <c r="F183" i="23"/>
  <c r="F184" i="23"/>
  <c r="F185" i="23"/>
  <c r="F186" i="23"/>
  <c r="F187" i="23"/>
  <c r="F188" i="23"/>
  <c r="F189" i="23"/>
  <c r="F190" i="23"/>
  <c r="F191" i="23"/>
  <c r="F192" i="23"/>
  <c r="F193" i="23"/>
  <c r="F194" i="23"/>
  <c r="F195" i="23"/>
  <c r="F196" i="23"/>
  <c r="F197" i="23"/>
  <c r="F198" i="23"/>
  <c r="F199" i="23"/>
  <c r="F200" i="23"/>
  <c r="F201" i="23"/>
  <c r="F202" i="23"/>
  <c r="F203" i="23"/>
  <c r="F204" i="23"/>
  <c r="F205" i="23"/>
  <c r="F206" i="23"/>
  <c r="F207" i="23"/>
  <c r="F208" i="23"/>
  <c r="F209" i="23"/>
  <c r="F210" i="23"/>
  <c r="F211" i="23"/>
  <c r="F212" i="23"/>
  <c r="F213" i="23"/>
  <c r="F214" i="23"/>
  <c r="F215" i="23"/>
  <c r="F216" i="23"/>
  <c r="F217" i="23"/>
  <c r="F218" i="23"/>
  <c r="F219" i="23"/>
  <c r="F220" i="23"/>
  <c r="F221" i="23"/>
  <c r="F222" i="23"/>
  <c r="F223" i="23"/>
  <c r="F224" i="23"/>
  <c r="F225" i="23"/>
  <c r="F226" i="23"/>
  <c r="F227" i="23"/>
  <c r="F228" i="23"/>
  <c r="F229" i="23"/>
  <c r="F230" i="23"/>
  <c r="F231" i="23"/>
  <c r="F232" i="23"/>
  <c r="F233" i="23"/>
  <c r="F234" i="23"/>
  <c r="F235" i="23"/>
  <c r="F236" i="23"/>
  <c r="F237" i="23"/>
  <c r="F238" i="23"/>
  <c r="F239" i="23"/>
  <c r="F240" i="23"/>
  <c r="F241" i="23"/>
  <c r="F242" i="23"/>
  <c r="F243" i="23"/>
  <c r="F244" i="23"/>
  <c r="F245" i="23"/>
  <c r="F246" i="23"/>
  <c r="F247" i="23"/>
  <c r="F248" i="23"/>
  <c r="F249" i="23"/>
  <c r="F250" i="23"/>
  <c r="F251" i="23"/>
  <c r="F252" i="23"/>
  <c r="F253" i="23"/>
  <c r="F254" i="23"/>
  <c r="F255" i="23"/>
  <c r="F256" i="23"/>
  <c r="F257" i="23"/>
  <c r="F258" i="23"/>
  <c r="F259" i="23"/>
  <c r="F260" i="23"/>
  <c r="F261" i="23"/>
  <c r="F262" i="23"/>
  <c r="F263" i="23"/>
  <c r="F264" i="23"/>
  <c r="F265" i="23"/>
  <c r="F266" i="23"/>
  <c r="F267" i="23"/>
  <c r="F268" i="23"/>
  <c r="F269" i="23"/>
  <c r="F270" i="23"/>
  <c r="F271" i="23"/>
  <c r="F272" i="23"/>
  <c r="F273" i="23"/>
  <c r="F274" i="23"/>
  <c r="F275" i="23"/>
  <c r="F276" i="23"/>
  <c r="F277" i="23"/>
  <c r="F278" i="23"/>
  <c r="F279" i="23"/>
  <c r="F280" i="23"/>
  <c r="F281" i="23"/>
  <c r="F282" i="23"/>
  <c r="F283" i="23"/>
  <c r="F284" i="23"/>
  <c r="F285" i="23"/>
  <c r="F286" i="23"/>
  <c r="F287" i="23"/>
  <c r="F288" i="23"/>
  <c r="F289" i="23"/>
  <c r="F290" i="23"/>
  <c r="F291" i="23"/>
  <c r="F292" i="23"/>
  <c r="F293" i="23"/>
  <c r="F294" i="23"/>
  <c r="F295" i="23"/>
  <c r="F296" i="23"/>
  <c r="F297" i="23"/>
  <c r="F298" i="23"/>
  <c r="F299" i="23"/>
  <c r="F300" i="23"/>
  <c r="F301" i="23"/>
  <c r="F302" i="23"/>
  <c r="F303" i="23"/>
  <c r="F304" i="23"/>
  <c r="F305" i="23"/>
  <c r="F306" i="23"/>
  <c r="F307" i="23"/>
  <c r="F308" i="23"/>
  <c r="F309" i="23"/>
  <c r="F310" i="23"/>
  <c r="F311" i="23"/>
  <c r="F312" i="23"/>
  <c r="F313" i="23"/>
  <c r="F314" i="23"/>
  <c r="F315" i="23"/>
  <c r="F316" i="23"/>
  <c r="F317" i="23"/>
  <c r="F318" i="23"/>
  <c r="F319" i="23"/>
  <c r="F320" i="23"/>
  <c r="F321" i="23"/>
  <c r="F322" i="23"/>
  <c r="F323" i="23"/>
  <c r="F324" i="23"/>
  <c r="F325" i="23"/>
  <c r="F326" i="23"/>
  <c r="F327" i="23"/>
  <c r="F328" i="23"/>
  <c r="F329" i="23"/>
  <c r="F330" i="23"/>
  <c r="F331" i="23"/>
  <c r="F332" i="23"/>
  <c r="F333" i="23"/>
  <c r="F334" i="23"/>
  <c r="F335" i="23"/>
  <c r="F336" i="23"/>
  <c r="F337" i="23"/>
  <c r="F338" i="23"/>
  <c r="F339" i="23"/>
  <c r="F340" i="23"/>
  <c r="F341" i="23"/>
  <c r="F342" i="23"/>
  <c r="F343" i="23"/>
  <c r="F344" i="23"/>
  <c r="F345" i="23"/>
  <c r="F346" i="23"/>
  <c r="F347" i="23"/>
  <c r="F348" i="23"/>
  <c r="F349" i="23"/>
  <c r="F350" i="23"/>
  <c r="F351" i="23"/>
  <c r="F77" i="23"/>
  <c r="F78" i="23"/>
  <c r="F79" i="23"/>
  <c r="F80" i="23"/>
  <c r="F81" i="23"/>
  <c r="F82" i="23"/>
  <c r="F83" i="23"/>
  <c r="F84" i="23"/>
  <c r="F85" i="23"/>
  <c r="F86" i="23"/>
  <c r="F87" i="23"/>
  <c r="F88" i="23"/>
  <c r="F89" i="23"/>
  <c r="F90" i="23"/>
  <c r="F91" i="23"/>
  <c r="F92" i="23"/>
  <c r="F93" i="23"/>
  <c r="F94" i="23"/>
  <c r="F95" i="23"/>
  <c r="F96" i="23"/>
  <c r="F97" i="23"/>
  <c r="F98" i="23"/>
  <c r="F99" i="23"/>
  <c r="F100" i="23"/>
  <c r="F101" i="23"/>
  <c r="F72" i="23"/>
  <c r="F73" i="23"/>
  <c r="F74" i="23"/>
  <c r="F75" i="23"/>
  <c r="F76" i="23"/>
  <c r="F59" i="23"/>
  <c r="F60" i="23"/>
  <c r="F61" i="23"/>
  <c r="F62" i="23"/>
  <c r="F63" i="23"/>
  <c r="F64" i="23"/>
  <c r="F65" i="23"/>
  <c r="F66" i="23"/>
  <c r="F67" i="23"/>
  <c r="F68" i="23"/>
  <c r="F69" i="23"/>
  <c r="F70" i="23"/>
  <c r="F71" i="23"/>
  <c r="F58" i="23"/>
  <c r="F57" i="23"/>
  <c r="F54" i="23"/>
  <c r="F55" i="23"/>
  <c r="F56" i="23"/>
  <c r="F52" i="23"/>
  <c r="F53" i="23"/>
  <c r="C302" i="23"/>
  <c r="C303" i="23"/>
  <c r="C304" i="23"/>
  <c r="C305" i="23"/>
  <c r="C306" i="23"/>
  <c r="C307" i="23"/>
  <c r="C308" i="23"/>
  <c r="C309" i="23"/>
  <c r="C310" i="23"/>
  <c r="C311" i="23"/>
  <c r="C312" i="23"/>
  <c r="C313" i="23"/>
  <c r="C314" i="23"/>
  <c r="C315" i="23"/>
  <c r="C316" i="23"/>
  <c r="C317" i="23"/>
  <c r="C318" i="23"/>
  <c r="C319" i="23"/>
  <c r="C320" i="23"/>
  <c r="C321" i="23"/>
  <c r="C322" i="23"/>
  <c r="C323" i="23"/>
  <c r="C324" i="23"/>
  <c r="C325" i="23"/>
  <c r="C326" i="23"/>
  <c r="C327" i="23"/>
  <c r="C328" i="23"/>
  <c r="C329" i="23"/>
  <c r="C330" i="23"/>
  <c r="C331" i="23"/>
  <c r="C332" i="23"/>
  <c r="C333" i="23"/>
  <c r="C334" i="23"/>
  <c r="C335" i="23"/>
  <c r="C336" i="23"/>
  <c r="C337" i="23"/>
  <c r="C338" i="23"/>
  <c r="C339" i="23"/>
  <c r="C340" i="23"/>
  <c r="C341" i="23"/>
  <c r="C342" i="23"/>
  <c r="C343" i="23"/>
  <c r="C344" i="23"/>
  <c r="C345" i="23"/>
  <c r="C346" i="23"/>
  <c r="C347" i="23"/>
  <c r="C348" i="23"/>
  <c r="C349" i="23"/>
  <c r="C350" i="23"/>
  <c r="C351" i="23"/>
  <c r="C277" i="23"/>
  <c r="C278" i="23"/>
  <c r="C279" i="23"/>
  <c r="C280" i="23"/>
  <c r="C281" i="23"/>
  <c r="C282" i="23"/>
  <c r="C283" i="23"/>
  <c r="C284" i="23"/>
  <c r="C285" i="23"/>
  <c r="C286" i="23"/>
  <c r="C287" i="23"/>
  <c r="C288" i="23"/>
  <c r="C289" i="23"/>
  <c r="C290" i="23"/>
  <c r="C291" i="23"/>
  <c r="C292" i="23"/>
  <c r="C293" i="23"/>
  <c r="C294" i="23"/>
  <c r="C295" i="23"/>
  <c r="C296" i="23"/>
  <c r="C297" i="23"/>
  <c r="C298" i="23"/>
  <c r="C299" i="23"/>
  <c r="C300" i="23"/>
  <c r="C301" i="23"/>
  <c r="C252" i="23"/>
  <c r="C253" i="23"/>
  <c r="C254" i="23"/>
  <c r="C255" i="23"/>
  <c r="C256" i="23"/>
  <c r="C257" i="23"/>
  <c r="C258" i="23"/>
  <c r="C259" i="23"/>
  <c r="C260" i="23"/>
  <c r="C261" i="23"/>
  <c r="C262" i="23"/>
  <c r="C263" i="23"/>
  <c r="C264" i="23"/>
  <c r="C265" i="23"/>
  <c r="C266" i="23"/>
  <c r="C267" i="23"/>
  <c r="C268" i="23"/>
  <c r="C269" i="23"/>
  <c r="C270" i="23"/>
  <c r="C271" i="23"/>
  <c r="C272" i="23"/>
  <c r="C273" i="23"/>
  <c r="C274" i="23"/>
  <c r="C275" i="23"/>
  <c r="C276" i="23"/>
  <c r="C227" i="23"/>
  <c r="C228" i="23"/>
  <c r="C229" i="23"/>
  <c r="C230" i="23"/>
  <c r="C231" i="23"/>
  <c r="C232" i="23"/>
  <c r="C233" i="23"/>
  <c r="C234" i="23"/>
  <c r="C235" i="23"/>
  <c r="C236" i="23"/>
  <c r="C237" i="23"/>
  <c r="C238" i="23"/>
  <c r="C239" i="23"/>
  <c r="C240" i="23"/>
  <c r="C241" i="23"/>
  <c r="C242" i="23"/>
  <c r="C243" i="23"/>
  <c r="C244" i="23"/>
  <c r="C245" i="23"/>
  <c r="C246" i="23"/>
  <c r="C247" i="23"/>
  <c r="C248" i="23"/>
  <c r="C249" i="23"/>
  <c r="C250" i="23"/>
  <c r="C251" i="23"/>
  <c r="C202" i="23"/>
  <c r="C203" i="23"/>
  <c r="C204" i="23"/>
  <c r="C205" i="23"/>
  <c r="C206" i="23"/>
  <c r="C207" i="23"/>
  <c r="C208" i="23"/>
  <c r="C209" i="23"/>
  <c r="C210" i="23"/>
  <c r="C211" i="23"/>
  <c r="C212" i="23"/>
  <c r="C213" i="23"/>
  <c r="C214" i="23"/>
  <c r="C215" i="23"/>
  <c r="C216" i="23"/>
  <c r="C217" i="23"/>
  <c r="C218" i="23"/>
  <c r="C219" i="23"/>
  <c r="C220" i="23"/>
  <c r="C221" i="23"/>
  <c r="C222" i="23"/>
  <c r="C223" i="23"/>
  <c r="C224" i="23"/>
  <c r="C225" i="23"/>
  <c r="C226" i="23"/>
  <c r="C177" i="23"/>
  <c r="C178" i="23"/>
  <c r="C179" i="23"/>
  <c r="C180" i="23"/>
  <c r="C181" i="23"/>
  <c r="C182" i="23"/>
  <c r="C183" i="23"/>
  <c r="C184" i="23"/>
  <c r="C185" i="23"/>
  <c r="C186" i="23"/>
  <c r="C187" i="23"/>
  <c r="C188" i="23"/>
  <c r="C189" i="23"/>
  <c r="C190" i="23"/>
  <c r="C191" i="23"/>
  <c r="C192" i="23"/>
  <c r="C193" i="23"/>
  <c r="C194" i="23"/>
  <c r="C195" i="23"/>
  <c r="C196" i="23"/>
  <c r="C197" i="23"/>
  <c r="C198" i="23"/>
  <c r="C199" i="23"/>
  <c r="C200" i="23"/>
  <c r="C201" i="23"/>
  <c r="C153" i="23"/>
  <c r="C154" i="23"/>
  <c r="C155" i="23"/>
  <c r="C156" i="23"/>
  <c r="C157" i="23"/>
  <c r="C158" i="23"/>
  <c r="C159" i="23"/>
  <c r="C160" i="23"/>
  <c r="C161" i="23"/>
  <c r="C162" i="23"/>
  <c r="C163" i="23"/>
  <c r="C164" i="23"/>
  <c r="C165" i="23"/>
  <c r="C166" i="23"/>
  <c r="C167" i="23"/>
  <c r="C168" i="23"/>
  <c r="C169" i="23"/>
  <c r="C170" i="23"/>
  <c r="C171" i="23"/>
  <c r="C172" i="23"/>
  <c r="C173" i="23"/>
  <c r="C174" i="23"/>
  <c r="C175" i="23"/>
  <c r="C176" i="23"/>
  <c r="C152" i="23"/>
  <c r="C128" i="23"/>
  <c r="C129" i="23"/>
  <c r="C130" i="23"/>
  <c r="C131" i="23"/>
  <c r="C132" i="23"/>
  <c r="C133" i="23"/>
  <c r="C134" i="23"/>
  <c r="C135" i="23"/>
  <c r="C136" i="23"/>
  <c r="C137" i="23"/>
  <c r="C138" i="23"/>
  <c r="C139" i="23"/>
  <c r="C140" i="23"/>
  <c r="C141" i="23"/>
  <c r="C142" i="23"/>
  <c r="C143" i="23"/>
  <c r="C144" i="23"/>
  <c r="C145" i="23"/>
  <c r="C146" i="23"/>
  <c r="C147" i="23"/>
  <c r="C148" i="23"/>
  <c r="C149" i="23"/>
  <c r="C150" i="23"/>
  <c r="C151" i="23"/>
  <c r="C127" i="23"/>
  <c r="C121" i="23"/>
  <c r="C122" i="23"/>
  <c r="C123" i="23"/>
  <c r="C124" i="23"/>
  <c r="C125" i="23"/>
  <c r="C126" i="23"/>
  <c r="C109" i="23"/>
  <c r="C110" i="23"/>
  <c r="C111" i="23"/>
  <c r="C112" i="23"/>
  <c r="C113" i="23"/>
  <c r="C114" i="23"/>
  <c r="C115" i="23"/>
  <c r="C116" i="23"/>
  <c r="C117" i="23"/>
  <c r="C118" i="23"/>
  <c r="C119" i="23"/>
  <c r="C120" i="23"/>
  <c r="C108" i="23"/>
  <c r="C103" i="23"/>
  <c r="C104" i="23"/>
  <c r="C105" i="23"/>
  <c r="C106" i="23"/>
  <c r="C107" i="23"/>
  <c r="C102" i="23"/>
  <c r="C96" i="23"/>
  <c r="C97" i="23"/>
  <c r="C98" i="23"/>
  <c r="C99" i="23"/>
  <c r="C100" i="23"/>
  <c r="C101" i="23"/>
  <c r="C83" i="23"/>
  <c r="C84" i="23"/>
  <c r="C85" i="23"/>
  <c r="C86" i="23"/>
  <c r="C87" i="23"/>
  <c r="C88" i="23"/>
  <c r="C89" i="23"/>
  <c r="C90" i="23"/>
  <c r="C91" i="23"/>
  <c r="C92" i="23"/>
  <c r="C93" i="23"/>
  <c r="C94" i="23"/>
  <c r="C95" i="23"/>
  <c r="C82" i="23"/>
  <c r="C79" i="23"/>
  <c r="C80" i="23"/>
  <c r="C81" i="23"/>
  <c r="C78" i="23"/>
  <c r="C77" i="23"/>
  <c r="C71" i="23"/>
  <c r="C72" i="23"/>
  <c r="C73" i="23"/>
  <c r="C74" i="23"/>
  <c r="C75" i="23"/>
  <c r="C76" i="23"/>
  <c r="C62" i="23"/>
  <c r="C63" i="23"/>
  <c r="C64" i="23"/>
  <c r="C65" i="23"/>
  <c r="C66" i="23"/>
  <c r="C67" i="23"/>
  <c r="C68" i="23"/>
  <c r="C69" i="23"/>
  <c r="C70" i="23"/>
  <c r="C61" i="23"/>
  <c r="C60" i="23"/>
  <c r="C59" i="23"/>
  <c r="C58" i="23"/>
  <c r="C57" i="23"/>
  <c r="C54" i="23"/>
  <c r="C55" i="23"/>
  <c r="C56" i="23"/>
  <c r="C53" i="23"/>
  <c r="C52" i="23"/>
  <c r="K46" i="23"/>
  <c r="K44" i="23"/>
  <c r="K43" i="23"/>
  <c r="G46" i="23"/>
  <c r="G45" i="23"/>
  <c r="H44" i="23"/>
  <c r="K390" i="23" s="1"/>
  <c r="H43" i="23"/>
  <c r="L40" i="23"/>
  <c r="L39" i="23"/>
  <c r="L38" i="23"/>
  <c r="L37" i="23"/>
  <c r="J38" i="23"/>
  <c r="J39" i="23"/>
  <c r="J40" i="23"/>
  <c r="J37" i="23"/>
  <c r="G40" i="23"/>
  <c r="G39" i="23"/>
  <c r="G38" i="23"/>
  <c r="G37" i="23"/>
  <c r="F22" i="23"/>
  <c r="J24" i="23"/>
  <c r="H24" i="23"/>
  <c r="F24" i="23"/>
  <c r="D24" i="23"/>
  <c r="J22" i="23"/>
  <c r="J21" i="23"/>
  <c r="K20" i="23"/>
  <c r="K19" i="23"/>
  <c r="J18" i="23"/>
  <c r="H20" i="23"/>
  <c r="F20" i="23"/>
  <c r="D20" i="23"/>
  <c r="D18" i="23"/>
  <c r="E9" i="23"/>
  <c r="E8" i="23"/>
  <c r="J5" i="23"/>
  <c r="I5" i="23"/>
  <c r="I4" i="23"/>
  <c r="E5" i="23"/>
  <c r="I3" i="23"/>
  <c r="L13" i="23"/>
  <c r="E13" i="23"/>
  <c r="E12" i="23"/>
  <c r="D11" i="23"/>
  <c r="L9" i="23"/>
  <c r="K390" i="13"/>
  <c r="R390" i="13" s="1"/>
  <c r="J390" i="13"/>
  <c r="Q390" i="13" s="1"/>
  <c r="I390" i="13"/>
  <c r="P390" i="13" s="1"/>
  <c r="H390" i="13"/>
  <c r="O390" i="13" s="1"/>
  <c r="G390" i="13"/>
  <c r="N390" i="13" s="1"/>
  <c r="K377" i="13"/>
  <c r="R377" i="13" s="1"/>
  <c r="J377" i="13"/>
  <c r="Q377" i="13" s="1"/>
  <c r="I377" i="13"/>
  <c r="P377" i="13" s="1"/>
  <c r="H377" i="13"/>
  <c r="O377" i="13" s="1"/>
  <c r="G377" i="13"/>
  <c r="N377" i="13" s="1"/>
  <c r="K364" i="13"/>
  <c r="R364" i="13" s="1"/>
  <c r="J364" i="13"/>
  <c r="Q364" i="13" s="1"/>
  <c r="I364" i="13"/>
  <c r="P364" i="13" s="1"/>
  <c r="H364" i="13"/>
  <c r="O364" i="13" s="1"/>
  <c r="G364" i="13"/>
  <c r="N364" i="13" s="1"/>
  <c r="J390" i="23"/>
  <c r="H390" i="23"/>
  <c r="K377" i="23"/>
  <c r="I377" i="23"/>
  <c r="G377" i="23"/>
  <c r="J364" i="23"/>
  <c r="H364" i="23"/>
  <c r="B91" i="19"/>
  <c r="B90" i="19"/>
  <c r="B89" i="19"/>
  <c r="B88" i="19"/>
  <c r="B87" i="19"/>
  <c r="B71" i="19"/>
  <c r="B70" i="19"/>
  <c r="B69" i="19"/>
  <c r="B68" i="19"/>
  <c r="B67" i="19"/>
  <c r="B62" i="19"/>
  <c r="B61" i="19"/>
  <c r="B60" i="19"/>
  <c r="B59" i="19"/>
  <c r="B58" i="19"/>
  <c r="T74" i="15"/>
  <c r="T61" i="15"/>
  <c r="T48" i="15"/>
  <c r="Y33" i="19"/>
  <c r="B84" i="19"/>
  <c r="B64" i="19"/>
  <c r="B55" i="19"/>
  <c r="B40" i="19"/>
  <c r="G364" i="23" l="1"/>
  <c r="K364" i="23"/>
  <c r="J377" i="23"/>
  <c r="I390" i="23"/>
  <c r="AA6" i="25"/>
  <c r="J10" i="25" s="1"/>
  <c r="W10" i="25" s="1"/>
  <c r="AA19" i="25"/>
  <c r="I23" i="25" s="1"/>
  <c r="V23" i="25" s="1"/>
  <c r="I364" i="23"/>
  <c r="H377" i="23"/>
  <c r="G390" i="23"/>
  <c r="G36" i="25"/>
  <c r="T36" i="25" s="1"/>
  <c r="M14" i="20"/>
  <c r="L14" i="20"/>
  <c r="Q14" i="20"/>
  <c r="I14" i="20"/>
  <c r="P14" i="20"/>
  <c r="H14" i="20"/>
  <c r="O14" i="20"/>
  <c r="K14" i="20"/>
  <c r="N14" i="20"/>
  <c r="O19" i="25"/>
  <c r="P19" i="25"/>
  <c r="Q32" i="25"/>
  <c r="R19" i="25"/>
  <c r="H23" i="25"/>
  <c r="U23" i="25" s="1"/>
  <c r="J23" i="25"/>
  <c r="W23" i="25" s="1"/>
  <c r="AC309" i="23"/>
  <c r="AC311" i="23" s="1"/>
  <c r="AC294" i="23"/>
  <c r="AC296" i="23" s="1"/>
  <c r="AC284" i="23"/>
  <c r="AC286" i="23" s="1"/>
  <c r="AC269" i="23"/>
  <c r="AC271" i="23" s="1"/>
  <c r="AC259" i="23"/>
  <c r="AC261" i="23" s="1"/>
  <c r="AC234" i="23"/>
  <c r="AC236" i="23" s="1"/>
  <c r="AC219" i="23"/>
  <c r="AC221" i="23" s="1"/>
  <c r="AC209" i="23"/>
  <c r="AC211" i="23" s="1"/>
  <c r="AC169" i="23"/>
  <c r="AC171" i="23" s="1"/>
  <c r="AC159" i="23"/>
  <c r="AC161" i="23" s="1"/>
  <c r="AC144" i="23"/>
  <c r="AC146" i="23" s="1"/>
  <c r="AC119" i="23"/>
  <c r="AC121" i="23" s="1"/>
  <c r="AC109" i="23"/>
  <c r="AC111" i="23" s="1"/>
  <c r="AC71" i="23"/>
  <c r="Q6" i="25"/>
  <c r="G10" i="25"/>
  <c r="T10" i="25" s="1"/>
  <c r="R32" i="25"/>
  <c r="P6" i="25"/>
  <c r="S6" i="25"/>
  <c r="H10" i="25"/>
  <c r="U10" i="25" s="1"/>
  <c r="K23" i="25"/>
  <c r="X23" i="25" s="1"/>
  <c r="O6" i="25"/>
  <c r="K10" i="25"/>
  <c r="X10" i="25" s="1"/>
  <c r="V25" i="25"/>
  <c r="W25" i="25"/>
  <c r="X38" i="25"/>
  <c r="W54" i="25"/>
  <c r="T67" i="25"/>
  <c r="U80" i="25"/>
  <c r="T80" i="25"/>
  <c r="T38" i="25"/>
  <c r="T41" i="25" s="1"/>
  <c r="AD38" i="25" s="1"/>
  <c r="T54" i="25"/>
  <c r="X54" i="25"/>
  <c r="V67" i="25"/>
  <c r="U67" i="25"/>
  <c r="V80" i="25"/>
  <c r="X80" i="25"/>
  <c r="T25" i="25"/>
  <c r="X25" i="25"/>
  <c r="U38" i="25"/>
  <c r="V38" i="25"/>
  <c r="U54" i="25"/>
  <c r="W67" i="25"/>
  <c r="W80" i="25"/>
  <c r="AI13" i="24"/>
  <c r="Z13" i="24"/>
  <c r="Z16" i="24" s="1"/>
  <c r="Z22" i="24" s="1"/>
  <c r="W24" i="25"/>
  <c r="V28" i="25"/>
  <c r="AF26" i="25" s="1"/>
  <c r="T26" i="25"/>
  <c r="K37" i="25"/>
  <c r="X37" i="25" s="1"/>
  <c r="T39" i="25"/>
  <c r="W39" i="25"/>
  <c r="U55" i="25"/>
  <c r="T13" i="25"/>
  <c r="W55" i="25"/>
  <c r="I10" i="25"/>
  <c r="V10" i="25" s="1"/>
  <c r="G24" i="25"/>
  <c r="T24" i="25" s="1"/>
  <c r="W26" i="25"/>
  <c r="AC38" i="25"/>
  <c r="Y38" i="25"/>
  <c r="Z38" i="25"/>
  <c r="W32" i="25"/>
  <c r="S32" i="25"/>
  <c r="I36" i="25"/>
  <c r="V36" i="25" s="1"/>
  <c r="AB54" i="25"/>
  <c r="K52" i="25"/>
  <c r="X52" i="25" s="1"/>
  <c r="G52" i="25"/>
  <c r="T52" i="25" s="1"/>
  <c r="S48" i="25"/>
  <c r="O48" i="25"/>
  <c r="AA54" i="25"/>
  <c r="J52" i="25"/>
  <c r="W52" i="25" s="1"/>
  <c r="W48" i="25"/>
  <c r="P48" i="25"/>
  <c r="AD48" i="25"/>
  <c r="AC54" i="25"/>
  <c r="T55" i="25"/>
  <c r="T81" i="25"/>
  <c r="X68" i="25"/>
  <c r="U68" i="25"/>
  <c r="I37" i="25"/>
  <c r="V37" i="25" s="1"/>
  <c r="H37" i="25"/>
  <c r="U37" i="25" s="1"/>
  <c r="X39" i="25"/>
  <c r="W81" i="25"/>
  <c r="X13" i="25"/>
  <c r="V55" i="25"/>
  <c r="X81" i="25"/>
  <c r="R6" i="25"/>
  <c r="AD6" i="25"/>
  <c r="Z25" i="25"/>
  <c r="Q19" i="25"/>
  <c r="S19" i="25"/>
  <c r="G23" i="25"/>
  <c r="T23" i="25" s="1"/>
  <c r="H24" i="25"/>
  <c r="U24" i="25" s="1"/>
  <c r="Y25" i="25"/>
  <c r="U26" i="25"/>
  <c r="O32" i="25"/>
  <c r="H36" i="25"/>
  <c r="U36" i="25" s="1"/>
  <c r="P32" i="25"/>
  <c r="J36" i="25"/>
  <c r="W36" i="25" s="1"/>
  <c r="J37" i="25"/>
  <c r="W37" i="25" s="1"/>
  <c r="AA38" i="25"/>
  <c r="V39" i="25"/>
  <c r="Q48" i="25"/>
  <c r="H52" i="25"/>
  <c r="U52" i="25" s="1"/>
  <c r="V68" i="25"/>
  <c r="T68" i="25"/>
  <c r="W68" i="25"/>
  <c r="U81" i="25"/>
  <c r="V81" i="25"/>
  <c r="R61" i="25"/>
  <c r="AD61" i="25"/>
  <c r="J65" i="25"/>
  <c r="W65" i="25" s="1"/>
  <c r="Q74" i="25"/>
  <c r="W74" i="25"/>
  <c r="I78" i="25"/>
  <c r="V78" i="25" s="1"/>
  <c r="Z80" i="25"/>
  <c r="R74" i="25"/>
  <c r="AD74" i="25"/>
  <c r="J78" i="25"/>
  <c r="W78" i="25" s="1"/>
  <c r="AB16" i="24"/>
  <c r="AB23" i="24" s="1"/>
  <c r="AF16" i="24"/>
  <c r="AF23" i="24" s="1"/>
  <c r="AJ16" i="24"/>
  <c r="AJ22" i="24" s="1"/>
  <c r="AC16" i="24"/>
  <c r="AN16" i="24" s="1"/>
  <c r="AN18" i="24" s="1"/>
  <c r="AC17" i="24" s="1"/>
  <c r="AC18" i="24" s="1"/>
  <c r="AG16" i="24"/>
  <c r="AG23" i="24" s="1"/>
  <c r="AH16" i="24"/>
  <c r="AH22" i="24" s="1"/>
  <c r="AD16" i="24"/>
  <c r="AD22" i="24" s="1"/>
  <c r="AA16" i="24"/>
  <c r="AA24" i="24" s="1"/>
  <c r="AE16" i="24"/>
  <c r="AE22" i="24" s="1"/>
  <c r="AI16" i="24"/>
  <c r="AI25" i="24" s="1"/>
  <c r="AA32" i="15"/>
  <c r="AA19" i="15"/>
  <c r="AA6" i="15"/>
  <c r="P43" i="16"/>
  <c r="M42" i="16"/>
  <c r="M41" i="16"/>
  <c r="H38" i="16"/>
  <c r="I38" i="16"/>
  <c r="J38" i="16"/>
  <c r="K38" i="16"/>
  <c r="G38" i="16"/>
  <c r="H43" i="16"/>
  <c r="M43" i="16" s="1"/>
  <c r="I43" i="16"/>
  <c r="N43" i="16" s="1"/>
  <c r="J43" i="16"/>
  <c r="O43" i="16" s="1"/>
  <c r="K43" i="16"/>
  <c r="G43" i="16"/>
  <c r="L43" i="16" s="1"/>
  <c r="H42" i="16"/>
  <c r="I42" i="16"/>
  <c r="N42" i="16" s="1"/>
  <c r="J42" i="16"/>
  <c r="O42" i="16" s="1"/>
  <c r="K42" i="16"/>
  <c r="P42" i="16" s="1"/>
  <c r="G42" i="16"/>
  <c r="L42" i="16" s="1"/>
  <c r="H41" i="16"/>
  <c r="I41" i="16"/>
  <c r="N41" i="16" s="1"/>
  <c r="J41" i="16"/>
  <c r="O41" i="16" s="1"/>
  <c r="K41" i="16"/>
  <c r="P41" i="16" s="1"/>
  <c r="G41" i="16"/>
  <c r="L41" i="16" s="1"/>
  <c r="H40" i="16"/>
  <c r="I40" i="16"/>
  <c r="J40" i="16"/>
  <c r="K40" i="16"/>
  <c r="G40" i="16"/>
  <c r="H39" i="16"/>
  <c r="I39" i="16"/>
  <c r="J39" i="16"/>
  <c r="K39" i="16"/>
  <c r="G39" i="16"/>
  <c r="G35" i="16"/>
  <c r="O364" i="23"/>
  <c r="F59" i="19" s="1"/>
  <c r="P364" i="23"/>
  <c r="F60" i="19" s="1"/>
  <c r="Q364" i="23"/>
  <c r="F61" i="19" s="1"/>
  <c r="R364" i="23"/>
  <c r="F62" i="19" s="1"/>
  <c r="N364" i="23"/>
  <c r="F58" i="19" s="1"/>
  <c r="O377" i="23"/>
  <c r="F68" i="19" s="1"/>
  <c r="P377" i="23"/>
  <c r="F69" i="19" s="1"/>
  <c r="Q377" i="23"/>
  <c r="F70" i="19" s="1"/>
  <c r="R377" i="23"/>
  <c r="F71" i="19" s="1"/>
  <c r="N377" i="23"/>
  <c r="F67" i="19" s="1"/>
  <c r="R390" i="23"/>
  <c r="Q390" i="23"/>
  <c r="P390" i="23"/>
  <c r="O390" i="23"/>
  <c r="N390" i="23"/>
  <c r="F87" i="19" s="1"/>
  <c r="T1" i="16"/>
  <c r="AF366" i="23"/>
  <c r="AF367" i="23"/>
  <c r="AF368" i="23"/>
  <c r="AF369" i="23"/>
  <c r="AF370" i="23"/>
  <c r="AF371" i="23"/>
  <c r="AF372" i="23"/>
  <c r="AF373" i="23"/>
  <c r="AF374" i="23"/>
  <c r="AF375" i="23"/>
  <c r="AF376" i="23"/>
  <c r="G14" i="20"/>
  <c r="X28" i="25" l="1"/>
  <c r="AH24" i="25" s="1"/>
  <c r="AU16" i="24"/>
  <c r="AU18" i="24" s="1"/>
  <c r="AJ17" i="24" s="1"/>
  <c r="AJ18" i="24" s="1"/>
  <c r="AF25" i="24"/>
  <c r="AS16" i="24"/>
  <c r="AS18" i="24" s="1"/>
  <c r="AH17" i="24" s="1"/>
  <c r="AH18" i="24" s="1"/>
  <c r="AF25" i="25"/>
  <c r="U41" i="25"/>
  <c r="Z41" i="25" s="1"/>
  <c r="Z43" i="25" s="1"/>
  <c r="U42" i="25" s="1"/>
  <c r="U43" i="25" s="1"/>
  <c r="AC23" i="24"/>
  <c r="AF24" i="24"/>
  <c r="AH24" i="24"/>
  <c r="AC25" i="24"/>
  <c r="AB25" i="24"/>
  <c r="AH23" i="24"/>
  <c r="AT16" i="24"/>
  <c r="AT18" i="24" s="1"/>
  <c r="AI17" i="24" s="1"/>
  <c r="AI18" i="24" s="1"/>
  <c r="AF22" i="24"/>
  <c r="AM16" i="24"/>
  <c r="AM18" i="24" s="1"/>
  <c r="AB17" i="24" s="1"/>
  <c r="AB18" i="24" s="1"/>
  <c r="AB24" i="24"/>
  <c r="AH25" i="24"/>
  <c r="AO16" i="24"/>
  <c r="AO18" i="24" s="1"/>
  <c r="AD17" i="24" s="1"/>
  <c r="AD18" i="24" s="1"/>
  <c r="AR16" i="24"/>
  <c r="AR18" i="24" s="1"/>
  <c r="AG17" i="24" s="1"/>
  <c r="AG18" i="24" s="1"/>
  <c r="AF23" i="25"/>
  <c r="AI23" i="24"/>
  <c r="AJ25" i="24"/>
  <c r="AP16" i="24"/>
  <c r="AP18" i="24" s="1"/>
  <c r="AE17" i="24" s="1"/>
  <c r="AE18" i="24" s="1"/>
  <c r="AE25" i="24"/>
  <c r="AC24" i="24"/>
  <c r="AE24" i="24"/>
  <c r="AG22" i="24"/>
  <c r="AE23" i="24"/>
  <c r="AA28" i="25"/>
  <c r="AA30" i="25" s="1"/>
  <c r="V29" i="25" s="1"/>
  <c r="V30" i="25" s="1"/>
  <c r="Y41" i="25"/>
  <c r="Y43" i="25" s="1"/>
  <c r="T42" i="25" s="1"/>
  <c r="T43" i="25" s="1"/>
  <c r="AC28" i="25"/>
  <c r="AC30" i="25" s="1"/>
  <c r="AF24" i="25"/>
  <c r="T28" i="25"/>
  <c r="AD25" i="25" s="1"/>
  <c r="H53" i="25"/>
  <c r="U53" i="25" s="1"/>
  <c r="U57" i="25" s="1"/>
  <c r="K53" i="25"/>
  <c r="X53" i="25" s="1"/>
  <c r="G53" i="25"/>
  <c r="T53" i="25" s="1"/>
  <c r="I53" i="25"/>
  <c r="V53" i="25" s="1"/>
  <c r="V57" i="25" s="1"/>
  <c r="AA57" i="25" s="1"/>
  <c r="AA59" i="25" s="1"/>
  <c r="V58" i="25" s="1"/>
  <c r="V59" i="25" s="1"/>
  <c r="J53" i="25"/>
  <c r="W53" i="25" s="1"/>
  <c r="AD36" i="25"/>
  <c r="AD37" i="25"/>
  <c r="K79" i="25"/>
  <c r="X79" i="25" s="1"/>
  <c r="X83" i="25" s="1"/>
  <c r="AH81" i="25" s="1"/>
  <c r="G79" i="25"/>
  <c r="T79" i="25" s="1"/>
  <c r="T83" i="25" s="1"/>
  <c r="J79" i="25"/>
  <c r="W79" i="25" s="1"/>
  <c r="I79" i="25"/>
  <c r="V79" i="25" s="1"/>
  <c r="V83" i="25" s="1"/>
  <c r="H79" i="25"/>
  <c r="U79" i="25" s="1"/>
  <c r="U83" i="25" s="1"/>
  <c r="K11" i="25"/>
  <c r="X11" i="25" s="1"/>
  <c r="G11" i="25"/>
  <c r="T11" i="25" s="1"/>
  <c r="J11" i="25"/>
  <c r="W11" i="25" s="1"/>
  <c r="I11" i="25"/>
  <c r="V11" i="25" s="1"/>
  <c r="H11" i="25"/>
  <c r="U11" i="25" s="1"/>
  <c r="V41" i="25"/>
  <c r="AF38" i="25" s="1"/>
  <c r="W41" i="25"/>
  <c r="AG37" i="25" s="1"/>
  <c r="X41" i="25"/>
  <c r="AH37" i="25" s="1"/>
  <c r="K66" i="25"/>
  <c r="X66" i="25" s="1"/>
  <c r="X70" i="25" s="1"/>
  <c r="G66" i="25"/>
  <c r="T66" i="25" s="1"/>
  <c r="T70" i="25" s="1"/>
  <c r="J66" i="25"/>
  <c r="W66" i="25" s="1"/>
  <c r="I66" i="25"/>
  <c r="V66" i="25" s="1"/>
  <c r="H66" i="25"/>
  <c r="U66" i="25" s="1"/>
  <c r="W28" i="25"/>
  <c r="AG26" i="25" s="1"/>
  <c r="AD39" i="25"/>
  <c r="U28" i="25"/>
  <c r="AE24" i="25" s="1"/>
  <c r="AQ16" i="24"/>
  <c r="AQ18" i="24" s="1"/>
  <c r="AF17" i="24" s="1"/>
  <c r="AF18" i="24" s="1"/>
  <c r="AL16" i="24"/>
  <c r="AL18" i="24" s="1"/>
  <c r="AA17" i="24" s="1"/>
  <c r="AA18" i="24" s="1"/>
  <c r="AG25" i="24"/>
  <c r="AG24" i="24"/>
  <c r="AA23" i="24"/>
  <c r="AD23" i="24"/>
  <c r="AI22" i="24"/>
  <c r="AD25" i="24"/>
  <c r="AJ23" i="24"/>
  <c r="AK16" i="24"/>
  <c r="AK18" i="24" s="1"/>
  <c r="Z17" i="24" s="1"/>
  <c r="Z18" i="24" s="1"/>
  <c r="AC22" i="24"/>
  <c r="AJ24" i="24"/>
  <c r="AB22" i="24"/>
  <c r="AA25" i="24"/>
  <c r="AD24" i="24"/>
  <c r="AA22" i="24"/>
  <c r="AI24" i="24"/>
  <c r="Z24" i="24"/>
  <c r="Z25" i="24"/>
  <c r="Z23" i="24"/>
  <c r="F89" i="19"/>
  <c r="F90" i="19"/>
  <c r="F91" i="19"/>
  <c r="F88" i="19"/>
  <c r="P12" i="20"/>
  <c r="O12" i="20"/>
  <c r="N12" i="20"/>
  <c r="M12" i="20"/>
  <c r="L12" i="20"/>
  <c r="K12" i="20"/>
  <c r="J12" i="20"/>
  <c r="I12" i="20"/>
  <c r="H12" i="20"/>
  <c r="AB364" i="23"/>
  <c r="W376" i="23" s="1"/>
  <c r="AF364" i="23"/>
  <c r="AA346" i="23"/>
  <c r="AA336" i="23"/>
  <c r="AA321" i="23"/>
  <c r="AA311" i="23"/>
  <c r="AA296" i="23"/>
  <c r="AA286" i="23"/>
  <c r="AA271" i="23"/>
  <c r="AA261" i="23"/>
  <c r="AA246" i="23"/>
  <c r="AA236" i="23"/>
  <c r="AA221" i="23"/>
  <c r="AA211" i="23"/>
  <c r="AA196" i="23"/>
  <c r="AA186" i="23"/>
  <c r="AA171" i="23"/>
  <c r="AA161" i="23"/>
  <c r="AA146" i="23"/>
  <c r="AA136" i="23"/>
  <c r="AA121" i="23"/>
  <c r="AA111" i="23"/>
  <c r="AA96" i="23"/>
  <c r="AA86" i="23"/>
  <c r="AA61" i="23"/>
  <c r="Y344" i="23"/>
  <c r="X344" i="23"/>
  <c r="W344" i="23"/>
  <c r="Y334" i="23"/>
  <c r="X334" i="23"/>
  <c r="W334" i="23"/>
  <c r="Y319" i="23"/>
  <c r="X319" i="23"/>
  <c r="Z319" i="23" s="1"/>
  <c r="V320" i="23" s="1"/>
  <c r="W319" i="23"/>
  <c r="Y309" i="23"/>
  <c r="X309" i="23"/>
  <c r="W309" i="23"/>
  <c r="Y294" i="23"/>
  <c r="X294" i="23"/>
  <c r="W294" i="23"/>
  <c r="Y284" i="23"/>
  <c r="X284" i="23"/>
  <c r="W284" i="23"/>
  <c r="Y269" i="23"/>
  <c r="X269" i="23"/>
  <c r="W269" i="23"/>
  <c r="Y259" i="23"/>
  <c r="X259" i="23"/>
  <c r="W259" i="23"/>
  <c r="Y244" i="23"/>
  <c r="X244" i="23"/>
  <c r="W244" i="23"/>
  <c r="Y234" i="23"/>
  <c r="X234" i="23"/>
  <c r="W234" i="23"/>
  <c r="Y219" i="23"/>
  <c r="X219" i="23"/>
  <c r="W219" i="23"/>
  <c r="Y209" i="23"/>
  <c r="X209" i="23"/>
  <c r="W209" i="23"/>
  <c r="Y194" i="23"/>
  <c r="X194" i="23"/>
  <c r="Z194" i="23" s="1"/>
  <c r="V195" i="23" s="1"/>
  <c r="W194" i="23"/>
  <c r="Y184" i="23"/>
  <c r="X184" i="23"/>
  <c r="W184" i="23"/>
  <c r="Y169" i="23"/>
  <c r="X169" i="23"/>
  <c r="Z169" i="23" s="1"/>
  <c r="V170" i="23" s="1"/>
  <c r="W169" i="23"/>
  <c r="Y159" i="23"/>
  <c r="X159" i="23"/>
  <c r="W159" i="23"/>
  <c r="Y144" i="23"/>
  <c r="X144" i="23"/>
  <c r="Z144" i="23" s="1"/>
  <c r="V145" i="23" s="1"/>
  <c r="W144" i="23"/>
  <c r="Y134" i="23"/>
  <c r="X134" i="23"/>
  <c r="W134" i="23"/>
  <c r="X109" i="23"/>
  <c r="Z109" i="23" s="1"/>
  <c r="W109" i="23"/>
  <c r="Y109" i="23"/>
  <c r="Y119" i="23"/>
  <c r="X119" i="23"/>
  <c r="W119" i="23"/>
  <c r="Y94" i="23"/>
  <c r="X94" i="23"/>
  <c r="W94" i="23"/>
  <c r="Y84" i="23"/>
  <c r="X84" i="23"/>
  <c r="W84" i="23"/>
  <c r="V59" i="23"/>
  <c r="W59" i="23" s="1"/>
  <c r="W69" i="23"/>
  <c r="AH25" i="25" l="1"/>
  <c r="AH23" i="25"/>
  <c r="X29" i="25"/>
  <c r="X30" i="25" s="1"/>
  <c r="AH26" i="25"/>
  <c r="AE37" i="25"/>
  <c r="AE39" i="25"/>
  <c r="AE36" i="25"/>
  <c r="AE38" i="25"/>
  <c r="AD24" i="25"/>
  <c r="Y28" i="25"/>
  <c r="Y30" i="25" s="1"/>
  <c r="T29" i="25" s="1"/>
  <c r="T30" i="25" s="1"/>
  <c r="AD26" i="25"/>
  <c r="AG39" i="25"/>
  <c r="AC41" i="25"/>
  <c r="AC43" i="25" s="1"/>
  <c r="X42" i="25" s="1"/>
  <c r="X43" i="25" s="1"/>
  <c r="AD23" i="25"/>
  <c r="AG36" i="25"/>
  <c r="Z28" i="25"/>
  <c r="Z30" i="25" s="1"/>
  <c r="U29" i="25" s="1"/>
  <c r="U30" i="25" s="1"/>
  <c r="AA41" i="25"/>
  <c r="AA43" i="25" s="1"/>
  <c r="V42" i="25" s="1"/>
  <c r="V43" i="25" s="1"/>
  <c r="AF39" i="25"/>
  <c r="AE80" i="25"/>
  <c r="AE78" i="25"/>
  <c r="AE81" i="25"/>
  <c r="Z83" i="25"/>
  <c r="Z85" i="25" s="1"/>
  <c r="U84" i="25" s="1"/>
  <c r="U85" i="25" s="1"/>
  <c r="AH67" i="25"/>
  <c r="AH65" i="25"/>
  <c r="AH68" i="25"/>
  <c r="AD79" i="25"/>
  <c r="AC83" i="25"/>
  <c r="AC85" i="25" s="1"/>
  <c r="X84" i="25" s="1"/>
  <c r="X85" i="25" s="1"/>
  <c r="AF80" i="25"/>
  <c r="AA83" i="25"/>
  <c r="AA85" i="25" s="1"/>
  <c r="V84" i="25" s="1"/>
  <c r="V85" i="25" s="1"/>
  <c r="AE25" i="25"/>
  <c r="AE23" i="25"/>
  <c r="AE54" i="25"/>
  <c r="Z57" i="25"/>
  <c r="Z59" i="25" s="1"/>
  <c r="U58" i="25" s="1"/>
  <c r="U59" i="25" s="1"/>
  <c r="AF54" i="25"/>
  <c r="AF52" i="25"/>
  <c r="U70" i="25"/>
  <c r="AE66" i="25" s="1"/>
  <c r="AH66" i="25"/>
  <c r="AG38" i="25"/>
  <c r="AB41" i="25"/>
  <c r="AB43" i="25" s="1"/>
  <c r="W42" i="25" s="1"/>
  <c r="W43" i="25" s="1"/>
  <c r="U15" i="25"/>
  <c r="X15" i="25"/>
  <c r="AH11" i="25" s="1"/>
  <c r="AF79" i="25"/>
  <c r="W57" i="25"/>
  <c r="AE53" i="25"/>
  <c r="AD67" i="25"/>
  <c r="Y70" i="25"/>
  <c r="Y72" i="25" s="1"/>
  <c r="T71" i="25" s="1"/>
  <c r="T72" i="25" s="1"/>
  <c r="AD65" i="25"/>
  <c r="Y83" i="25"/>
  <c r="Y85" i="25" s="1"/>
  <c r="T84" i="25" s="1"/>
  <c r="T85" i="25" s="1"/>
  <c r="AD80" i="25"/>
  <c r="AD78" i="25"/>
  <c r="AD81" i="25"/>
  <c r="W15" i="25"/>
  <c r="AG11" i="25" s="1"/>
  <c r="T57" i="25"/>
  <c r="AG24" i="25"/>
  <c r="AB28" i="25"/>
  <c r="AB30" i="25" s="1"/>
  <c r="W29" i="25" s="1"/>
  <c r="W30" i="25" s="1"/>
  <c r="AG25" i="25"/>
  <c r="AG23" i="25"/>
  <c r="AH78" i="25"/>
  <c r="AH80" i="25"/>
  <c r="AD66" i="25"/>
  <c r="AH38" i="25"/>
  <c r="AH36" i="25"/>
  <c r="T15" i="25"/>
  <c r="AD11" i="25" s="1"/>
  <c r="AE79" i="25"/>
  <c r="AH79" i="25"/>
  <c r="AF81" i="25"/>
  <c r="AF55" i="25"/>
  <c r="AE52" i="25"/>
  <c r="AF78" i="25"/>
  <c r="AF37" i="25"/>
  <c r="V70" i="25"/>
  <c r="AE55" i="25"/>
  <c r="V15" i="25"/>
  <c r="AD68" i="25"/>
  <c r="W83" i="25"/>
  <c r="AG79" i="25" s="1"/>
  <c r="X57" i="25"/>
  <c r="AC57" i="25"/>
  <c r="AC59" i="25" s="1"/>
  <c r="AE26" i="25"/>
  <c r="W70" i="25"/>
  <c r="AG66" i="25" s="1"/>
  <c r="AF36" i="25"/>
  <c r="AF53" i="25"/>
  <c r="AH39" i="25"/>
  <c r="B51" i="19"/>
  <c r="W369" i="23"/>
  <c r="W366" i="23"/>
  <c r="Y366" i="23" s="1"/>
  <c r="W374" i="23"/>
  <c r="W367" i="23"/>
  <c r="W371" i="23"/>
  <c r="W375" i="23"/>
  <c r="W373" i="23"/>
  <c r="Y373" i="23" s="1"/>
  <c r="W370" i="23"/>
  <c r="W368" i="23"/>
  <c r="W372" i="23"/>
  <c r="Z344" i="23"/>
  <c r="V345" i="23" s="1"/>
  <c r="Z334" i="23"/>
  <c r="V335" i="23" s="1"/>
  <c r="W320" i="23"/>
  <c r="Y320" i="23"/>
  <c r="X320" i="23"/>
  <c r="Z309" i="23"/>
  <c r="V310" i="23" s="1"/>
  <c r="Z294" i="23"/>
  <c r="Z284" i="23"/>
  <c r="V285" i="23" s="1"/>
  <c r="Z269" i="23"/>
  <c r="V270" i="23" s="1"/>
  <c r="Z259" i="23"/>
  <c r="V260" i="23" s="1"/>
  <c r="Z244" i="23"/>
  <c r="V245" i="23" s="1"/>
  <c r="Z234" i="23"/>
  <c r="V235" i="23" s="1"/>
  <c r="Z219" i="23"/>
  <c r="V220" i="23" s="1"/>
  <c r="Z209" i="23"/>
  <c r="V210" i="23" s="1"/>
  <c r="W195" i="23"/>
  <c r="Y195" i="23"/>
  <c r="X195" i="23"/>
  <c r="Z184" i="23"/>
  <c r="V185" i="23" s="1"/>
  <c r="Y170" i="23"/>
  <c r="X170" i="23"/>
  <c r="Z170" i="23" s="1"/>
  <c r="V171" i="23" s="1"/>
  <c r="W170" i="23"/>
  <c r="Z159" i="23"/>
  <c r="V160" i="23" s="1"/>
  <c r="W145" i="23"/>
  <c r="Y145" i="23"/>
  <c r="X145" i="23"/>
  <c r="Z134" i="23"/>
  <c r="V135" i="23" s="1"/>
  <c r="V110" i="23"/>
  <c r="X110" i="23" s="1"/>
  <c r="Z119" i="23"/>
  <c r="V120" i="23" s="1"/>
  <c r="Z94" i="23"/>
  <c r="V95" i="23" s="1"/>
  <c r="Z84" i="23"/>
  <c r="V85" i="23" s="1"/>
  <c r="W85" i="23" s="1"/>
  <c r="X59" i="23"/>
  <c r="AA69" i="23"/>
  <c r="AA71" i="23" s="1"/>
  <c r="Y69" i="23"/>
  <c r="Y59" i="23"/>
  <c r="X69" i="23"/>
  <c r="X58" i="25" l="1"/>
  <c r="X59" i="25" s="1"/>
  <c r="AF65" i="25"/>
  <c r="AC70" i="25"/>
  <c r="AC72" i="25" s="1"/>
  <c r="X71" i="25" s="1"/>
  <c r="X72" i="25" s="1"/>
  <c r="AA70" i="25"/>
  <c r="AA72" i="25" s="1"/>
  <c r="V71" i="25" s="1"/>
  <c r="V72" i="25" s="1"/>
  <c r="AF67" i="25"/>
  <c r="AF68" i="25"/>
  <c r="AF12" i="25"/>
  <c r="AF13" i="25"/>
  <c r="AC15" i="25"/>
  <c r="AC17" i="25" s="1"/>
  <c r="X16" i="25" s="1"/>
  <c r="X17" i="25" s="1"/>
  <c r="AA15" i="25"/>
  <c r="AA17" i="25" s="1"/>
  <c r="V16" i="25" s="1"/>
  <c r="V17" i="25" s="1"/>
  <c r="AF10" i="25"/>
  <c r="Y57" i="25"/>
  <c r="Y59" i="25" s="1"/>
  <c r="T58" i="25" s="1"/>
  <c r="T59" i="25" s="1"/>
  <c r="AD54" i="25"/>
  <c r="AD55" i="25"/>
  <c r="AD52" i="25"/>
  <c r="AG54" i="25"/>
  <c r="AG52" i="25"/>
  <c r="AB57" i="25"/>
  <c r="AB59" i="25" s="1"/>
  <c r="W58" i="25" s="1"/>
  <c r="W59" i="25" s="1"/>
  <c r="AG55" i="25"/>
  <c r="AG67" i="25"/>
  <c r="AB70" i="25"/>
  <c r="AB72" i="25" s="1"/>
  <c r="W71" i="25" s="1"/>
  <c r="W72" i="25" s="1"/>
  <c r="AG65" i="25"/>
  <c r="AG68" i="25"/>
  <c r="AG80" i="25"/>
  <c r="AB83" i="25"/>
  <c r="AB85" i="25" s="1"/>
  <c r="W84" i="25" s="1"/>
  <c r="W85" i="25" s="1"/>
  <c r="AG81" i="25"/>
  <c r="AG78" i="25"/>
  <c r="AF11" i="25"/>
  <c r="Y15" i="25"/>
  <c r="Y17" i="25" s="1"/>
  <c r="T16" i="25" s="1"/>
  <c r="T17" i="25" s="1"/>
  <c r="AD12" i="25"/>
  <c r="AD10" i="25"/>
  <c r="AD13" i="25"/>
  <c r="AD53" i="25"/>
  <c r="AG53" i="25"/>
  <c r="AE10" i="25"/>
  <c r="AE12" i="25"/>
  <c r="AE13" i="25"/>
  <c r="Z15" i="25"/>
  <c r="Z17" i="25" s="1"/>
  <c r="U16" i="25" s="1"/>
  <c r="U17" i="25" s="1"/>
  <c r="AH12" i="25"/>
  <c r="AH10" i="25"/>
  <c r="AH13" i="25"/>
  <c r="AH55" i="25"/>
  <c r="AH54" i="25"/>
  <c r="AH52" i="25"/>
  <c r="AF66" i="25"/>
  <c r="AG13" i="25"/>
  <c r="AG10" i="25"/>
  <c r="AB15" i="25"/>
  <c r="AB17" i="25" s="1"/>
  <c r="W16" i="25" s="1"/>
  <c r="W17" i="25" s="1"/>
  <c r="AG12" i="25"/>
  <c r="AE11" i="25"/>
  <c r="AE65" i="25"/>
  <c r="AE67" i="25"/>
  <c r="Z70" i="25"/>
  <c r="Z72" i="25" s="1"/>
  <c r="U71" i="25" s="1"/>
  <c r="U72" i="25" s="1"/>
  <c r="AE68" i="25"/>
  <c r="AH53" i="25"/>
  <c r="Z195" i="23"/>
  <c r="V196" i="23" s="1"/>
  <c r="Z320" i="23"/>
  <c r="V321" i="23" s="1"/>
  <c r="B47" i="19"/>
  <c r="B46" i="19"/>
  <c r="B43" i="19"/>
  <c r="B48" i="19"/>
  <c r="B50" i="19"/>
  <c r="B44" i="19"/>
  <c r="B45" i="19"/>
  <c r="B49" i="19"/>
  <c r="Y345" i="23"/>
  <c r="W345" i="23"/>
  <c r="X345" i="23"/>
  <c r="W335" i="23"/>
  <c r="X335" i="23"/>
  <c r="Z335" i="23" s="1"/>
  <c r="V336" i="23" s="1"/>
  <c r="Y335" i="23"/>
  <c r="Y321" i="23"/>
  <c r="X321" i="23"/>
  <c r="Z321" i="23" s="1"/>
  <c r="V322" i="23" s="1"/>
  <c r="W321" i="23"/>
  <c r="W310" i="23"/>
  <c r="X310" i="23"/>
  <c r="Y310" i="23"/>
  <c r="V295" i="23"/>
  <c r="W295" i="23" s="1"/>
  <c r="X285" i="23"/>
  <c r="Y285" i="23"/>
  <c r="W285" i="23"/>
  <c r="Y270" i="23"/>
  <c r="W270" i="23"/>
  <c r="X270" i="23"/>
  <c r="X260" i="23"/>
  <c r="Y260" i="23"/>
  <c r="W260" i="23"/>
  <c r="Y245" i="23"/>
  <c r="W245" i="23"/>
  <c r="X245" i="23"/>
  <c r="X235" i="23"/>
  <c r="Y235" i="23"/>
  <c r="W235" i="23"/>
  <c r="W220" i="23"/>
  <c r="X220" i="23"/>
  <c r="Z220" i="23" s="1"/>
  <c r="Y220" i="23"/>
  <c r="W210" i="23"/>
  <c r="X210" i="23"/>
  <c r="Z210" i="23" s="1"/>
  <c r="V211" i="23" s="1"/>
  <c r="Y210" i="23"/>
  <c r="Y196" i="23"/>
  <c r="X196" i="23"/>
  <c r="Z196" i="23" s="1"/>
  <c r="V197" i="23" s="1"/>
  <c r="W196" i="23"/>
  <c r="Y185" i="23"/>
  <c r="X185" i="23"/>
  <c r="W185" i="23"/>
  <c r="Y171" i="23"/>
  <c r="X171" i="23"/>
  <c r="W171" i="23"/>
  <c r="Z171" i="23"/>
  <c r="V172" i="23" s="1"/>
  <c r="X160" i="23"/>
  <c r="Y160" i="23"/>
  <c r="W160" i="23"/>
  <c r="Z145" i="23"/>
  <c r="V146" i="23" s="1"/>
  <c r="Y146" i="23" s="1"/>
  <c r="X135" i="23"/>
  <c r="Z135" i="23" s="1"/>
  <c r="V136" i="23" s="1"/>
  <c r="Y135" i="23"/>
  <c r="W135" i="23"/>
  <c r="W110" i="23"/>
  <c r="Z110" i="23"/>
  <c r="V111" i="23" s="1"/>
  <c r="Y110" i="23"/>
  <c r="W120" i="23"/>
  <c r="X120" i="23"/>
  <c r="Z120" i="23" s="1"/>
  <c r="Y120" i="23"/>
  <c r="Y95" i="23"/>
  <c r="W95" i="23"/>
  <c r="X95" i="23"/>
  <c r="Z95" i="23" s="1"/>
  <c r="V96" i="23" s="1"/>
  <c r="X85" i="23"/>
  <c r="Y85" i="23"/>
  <c r="Z69" i="23"/>
  <c r="V70" i="23" s="1"/>
  <c r="AF4505" i="23"/>
  <c r="AF4504" i="23"/>
  <c r="AF4503" i="23"/>
  <c r="AF4502" i="23"/>
  <c r="AF4501" i="23"/>
  <c r="AF4500" i="23"/>
  <c r="AF4499" i="23"/>
  <c r="AF4498" i="23"/>
  <c r="AF4497" i="23"/>
  <c r="AF4496" i="23"/>
  <c r="AF4495" i="23"/>
  <c r="AF4494" i="23"/>
  <c r="AF4493" i="23"/>
  <c r="AF4492" i="23"/>
  <c r="AF4491" i="23"/>
  <c r="AF4490" i="23"/>
  <c r="AF4489" i="23"/>
  <c r="AF4488" i="23"/>
  <c r="AF4487" i="23"/>
  <c r="AF4486" i="23"/>
  <c r="AF4485" i="23"/>
  <c r="AF4484" i="23"/>
  <c r="AF4483" i="23"/>
  <c r="AF4482" i="23"/>
  <c r="AF4481" i="23"/>
  <c r="AF4480" i="23"/>
  <c r="AF4479" i="23"/>
  <c r="AF4478" i="23"/>
  <c r="AF4477" i="23"/>
  <c r="AF4476" i="23"/>
  <c r="AF4475" i="23"/>
  <c r="AF4474" i="23"/>
  <c r="AF4473" i="23"/>
  <c r="AF4472" i="23"/>
  <c r="AF4471" i="23"/>
  <c r="AF4470" i="23"/>
  <c r="AF4469" i="23"/>
  <c r="AF4468" i="23"/>
  <c r="AF4467" i="23"/>
  <c r="AF4466" i="23"/>
  <c r="AF4465" i="23"/>
  <c r="AF4464" i="23"/>
  <c r="AF4463" i="23"/>
  <c r="AF4462" i="23"/>
  <c r="AF4461" i="23"/>
  <c r="AF4460" i="23"/>
  <c r="AF4459" i="23"/>
  <c r="AF4458" i="23"/>
  <c r="AF4457" i="23"/>
  <c r="AF4456" i="23"/>
  <c r="AF4455" i="23"/>
  <c r="AF4454" i="23"/>
  <c r="AF4453" i="23"/>
  <c r="AF4452" i="23"/>
  <c r="AF4451" i="23"/>
  <c r="AF4450" i="23"/>
  <c r="AF4449" i="23"/>
  <c r="AF4448" i="23"/>
  <c r="AF4447" i="23"/>
  <c r="AF4446" i="23"/>
  <c r="AF4445" i="23"/>
  <c r="AF4444" i="23"/>
  <c r="AF4443" i="23"/>
  <c r="AF4442" i="23"/>
  <c r="AF4441" i="23"/>
  <c r="AF4440" i="23"/>
  <c r="AF4439" i="23"/>
  <c r="AF4438" i="23"/>
  <c r="AF4437" i="23"/>
  <c r="AF4436" i="23"/>
  <c r="AF4435" i="23"/>
  <c r="AF4434" i="23"/>
  <c r="AF4433" i="23"/>
  <c r="AF4432" i="23"/>
  <c r="AF4431" i="23"/>
  <c r="AF4430" i="23"/>
  <c r="AF4429" i="23"/>
  <c r="AF4428" i="23"/>
  <c r="AF4427" i="23"/>
  <c r="AF4426" i="23"/>
  <c r="AF4425" i="23"/>
  <c r="AF4424" i="23"/>
  <c r="AF4423" i="23"/>
  <c r="AF4422" i="23"/>
  <c r="AF4421" i="23"/>
  <c r="AF4420" i="23"/>
  <c r="AF4419" i="23"/>
  <c r="AF4418" i="23"/>
  <c r="AF4417" i="23"/>
  <c r="AF4416" i="23"/>
  <c r="AF4415" i="23"/>
  <c r="AF4414" i="23"/>
  <c r="AF4413" i="23"/>
  <c r="AF4412" i="23"/>
  <c r="AF4411" i="23"/>
  <c r="AF4410" i="23"/>
  <c r="AF4409" i="23"/>
  <c r="AF4408" i="23"/>
  <c r="AF4407" i="23"/>
  <c r="AF4406" i="23"/>
  <c r="AF4405" i="23"/>
  <c r="AF4404" i="23"/>
  <c r="AF4403" i="23"/>
  <c r="AF4402" i="23"/>
  <c r="AF4401" i="23"/>
  <c r="AF4400" i="23"/>
  <c r="AF4399" i="23"/>
  <c r="AF4398" i="23"/>
  <c r="AF4397" i="23"/>
  <c r="AF4396" i="23"/>
  <c r="AF4395" i="23"/>
  <c r="AF4394" i="23"/>
  <c r="AF4393" i="23"/>
  <c r="AF4392" i="23"/>
  <c r="AF4391" i="23"/>
  <c r="AF4390" i="23"/>
  <c r="AF4389" i="23"/>
  <c r="AF4388" i="23"/>
  <c r="AF4387" i="23"/>
  <c r="AF4386" i="23"/>
  <c r="AF4385" i="23"/>
  <c r="AF4384" i="23"/>
  <c r="AF4383" i="23"/>
  <c r="AF4382" i="23"/>
  <c r="AF4381" i="23"/>
  <c r="AF4380" i="23"/>
  <c r="AF4379" i="23"/>
  <c r="AF4378" i="23"/>
  <c r="AF4377" i="23"/>
  <c r="AF4376" i="23"/>
  <c r="AF4375" i="23"/>
  <c r="AF4374" i="23"/>
  <c r="AF4373" i="23"/>
  <c r="AF4372" i="23"/>
  <c r="AF4371" i="23"/>
  <c r="AF4370" i="23"/>
  <c r="AF4369" i="23"/>
  <c r="AF4368" i="23"/>
  <c r="AF4367" i="23"/>
  <c r="AF4366" i="23"/>
  <c r="AF4365" i="23"/>
  <c r="AF4364" i="23"/>
  <c r="AF4363" i="23"/>
  <c r="AF4362" i="23"/>
  <c r="AF4361" i="23"/>
  <c r="AF4360" i="23"/>
  <c r="AF4359" i="23"/>
  <c r="AF4358" i="23"/>
  <c r="AF4357" i="23"/>
  <c r="AF4356" i="23"/>
  <c r="AF4355" i="23"/>
  <c r="AF4354" i="23"/>
  <c r="AF4353" i="23"/>
  <c r="AF4352" i="23"/>
  <c r="AF4351" i="23"/>
  <c r="AF4350" i="23"/>
  <c r="AF4349" i="23"/>
  <c r="AF4348" i="23"/>
  <c r="AF4347" i="23"/>
  <c r="AF4346" i="23"/>
  <c r="AF4345" i="23"/>
  <c r="AF4344" i="23"/>
  <c r="AF4343" i="23"/>
  <c r="AF4342" i="23"/>
  <c r="AF4341" i="23"/>
  <c r="AF4340" i="23"/>
  <c r="AF4339" i="23"/>
  <c r="AF4338" i="23"/>
  <c r="AF4337" i="23"/>
  <c r="AF4336" i="23"/>
  <c r="AF4335" i="23"/>
  <c r="AF4334" i="23"/>
  <c r="AF4333" i="23"/>
  <c r="AF4332" i="23"/>
  <c r="AF4331" i="23"/>
  <c r="AF4330" i="23"/>
  <c r="AF4329" i="23"/>
  <c r="AF4328" i="23"/>
  <c r="AF4327" i="23"/>
  <c r="AF4326" i="23"/>
  <c r="AF4325" i="23"/>
  <c r="AF4324" i="23"/>
  <c r="AF4323" i="23"/>
  <c r="AF4322" i="23"/>
  <c r="AF4321" i="23"/>
  <c r="AF4320" i="23"/>
  <c r="AF4319" i="23"/>
  <c r="AF4318" i="23"/>
  <c r="AF4317" i="23"/>
  <c r="AF4316" i="23"/>
  <c r="AF4315" i="23"/>
  <c r="AF4314" i="23"/>
  <c r="AF4313" i="23"/>
  <c r="AF4312" i="23"/>
  <c r="AF4311" i="23"/>
  <c r="AF4310" i="23"/>
  <c r="AF4309" i="23"/>
  <c r="AF4308" i="23"/>
  <c r="AF4307" i="23"/>
  <c r="AF4306" i="23"/>
  <c r="AF4305" i="23"/>
  <c r="AF4304" i="23"/>
  <c r="AF4303" i="23"/>
  <c r="AF4302" i="23"/>
  <c r="AF4301" i="23"/>
  <c r="AF4300" i="23"/>
  <c r="AF4299" i="23"/>
  <c r="AF4298" i="23"/>
  <c r="AF4297" i="23"/>
  <c r="AF4296" i="23"/>
  <c r="AF4295" i="23"/>
  <c r="AF4294" i="23"/>
  <c r="AF4293" i="23"/>
  <c r="AF4292" i="23"/>
  <c r="AF4291" i="23"/>
  <c r="AF4290" i="23"/>
  <c r="AF4289" i="23"/>
  <c r="AF4288" i="23"/>
  <c r="AF4287" i="23"/>
  <c r="AF4286" i="23"/>
  <c r="AF4285" i="23"/>
  <c r="AF4284" i="23"/>
  <c r="AF4283" i="23"/>
  <c r="AF4282" i="23"/>
  <c r="AF4281" i="23"/>
  <c r="AF4280" i="23"/>
  <c r="AF4279" i="23"/>
  <c r="AF4278" i="23"/>
  <c r="AF4277" i="23"/>
  <c r="AF4276" i="23"/>
  <c r="AF4275" i="23"/>
  <c r="AF4274" i="23"/>
  <c r="AF4273" i="23"/>
  <c r="AF4272" i="23"/>
  <c r="AF4271" i="23"/>
  <c r="AF4270" i="23"/>
  <c r="AF4269" i="23"/>
  <c r="AF4268" i="23"/>
  <c r="AF4267" i="23"/>
  <c r="AF4266" i="23"/>
  <c r="AF4265" i="23"/>
  <c r="AF4264" i="23"/>
  <c r="AF4263" i="23"/>
  <c r="AF4262" i="23"/>
  <c r="AF4261" i="23"/>
  <c r="AF4260" i="23"/>
  <c r="AF4259" i="23"/>
  <c r="AF4258" i="23"/>
  <c r="AF4257" i="23"/>
  <c r="AF4256" i="23"/>
  <c r="AF4255" i="23"/>
  <c r="AF4254" i="23"/>
  <c r="AF4253" i="23"/>
  <c r="AF4252" i="23"/>
  <c r="AF4251" i="23"/>
  <c r="AF4250" i="23"/>
  <c r="AF4249" i="23"/>
  <c r="AF4248" i="23"/>
  <c r="AF4247" i="23"/>
  <c r="AF4246" i="23"/>
  <c r="AF4245" i="23"/>
  <c r="AF4244" i="23"/>
  <c r="AF4243" i="23"/>
  <c r="AF4242" i="23"/>
  <c r="AF4241" i="23"/>
  <c r="AF4240" i="23"/>
  <c r="AF4239" i="23"/>
  <c r="AF4238" i="23"/>
  <c r="AF4237" i="23"/>
  <c r="AF4236" i="23"/>
  <c r="AF4235" i="23"/>
  <c r="AF4234" i="23"/>
  <c r="AF4233" i="23"/>
  <c r="AF4232" i="23"/>
  <c r="AF4231" i="23"/>
  <c r="AF4230" i="23"/>
  <c r="AF4229" i="23"/>
  <c r="AF4228" i="23"/>
  <c r="AF4227" i="23"/>
  <c r="AF4226" i="23"/>
  <c r="AF4225" i="23"/>
  <c r="AF4224" i="23"/>
  <c r="AF4223" i="23"/>
  <c r="AF4222" i="23"/>
  <c r="AF4221" i="23"/>
  <c r="AF4220" i="23"/>
  <c r="AF4219" i="23"/>
  <c r="AF4218" i="23"/>
  <c r="AF4217" i="23"/>
  <c r="AF4216" i="23"/>
  <c r="AF4215" i="23"/>
  <c r="AF4214" i="23"/>
  <c r="AF4213" i="23"/>
  <c r="AF4212" i="23"/>
  <c r="AF4211" i="23"/>
  <c r="AF4210" i="23"/>
  <c r="AF4209" i="23"/>
  <c r="AF4208" i="23"/>
  <c r="AF4207" i="23"/>
  <c r="AF4206" i="23"/>
  <c r="AF4205" i="23"/>
  <c r="AF4204" i="23"/>
  <c r="AF4203" i="23"/>
  <c r="AF4202" i="23"/>
  <c r="AF4201" i="23"/>
  <c r="AF4200" i="23"/>
  <c r="AF4199" i="23"/>
  <c r="AF4198" i="23"/>
  <c r="AF4197" i="23"/>
  <c r="AF4196" i="23"/>
  <c r="AF4195" i="23"/>
  <c r="AF4194" i="23"/>
  <c r="AF4193" i="23"/>
  <c r="AF4192" i="23"/>
  <c r="AF4191" i="23"/>
  <c r="AF4190" i="23"/>
  <c r="AF4189" i="23"/>
  <c r="AF4188" i="23"/>
  <c r="AF4187" i="23"/>
  <c r="AF4186" i="23"/>
  <c r="AF4185" i="23"/>
  <c r="AF4184" i="23"/>
  <c r="AF4183" i="23"/>
  <c r="AF4182" i="23"/>
  <c r="AF4181" i="23"/>
  <c r="AF4180" i="23"/>
  <c r="AF4179" i="23"/>
  <c r="AF4178" i="23"/>
  <c r="AF4177" i="23"/>
  <c r="AF4176" i="23"/>
  <c r="AF4175" i="23"/>
  <c r="AF4174" i="23"/>
  <c r="AF4173" i="23"/>
  <c r="AF4172" i="23"/>
  <c r="AF4171" i="23"/>
  <c r="AF4170" i="23"/>
  <c r="AF4169" i="23"/>
  <c r="AF4168" i="23"/>
  <c r="AF4167" i="23"/>
  <c r="AF4166" i="23"/>
  <c r="AF4165" i="23"/>
  <c r="AF4164" i="23"/>
  <c r="AF4163" i="23"/>
  <c r="AF4162" i="23"/>
  <c r="AF4161" i="23"/>
  <c r="AF4160" i="23"/>
  <c r="AF4159" i="23"/>
  <c r="AF4158" i="23"/>
  <c r="AF4157" i="23"/>
  <c r="AF4156" i="23"/>
  <c r="AF4155" i="23"/>
  <c r="AF4154" i="23"/>
  <c r="AF4153" i="23"/>
  <c r="AF4152" i="23"/>
  <c r="AF4151" i="23"/>
  <c r="AF4150" i="23"/>
  <c r="AF4149" i="23"/>
  <c r="AF4148" i="23"/>
  <c r="AF4147" i="23"/>
  <c r="AF4146" i="23"/>
  <c r="AF4145" i="23"/>
  <c r="AF4144" i="23"/>
  <c r="AF4143" i="23"/>
  <c r="AF4142" i="23"/>
  <c r="AF4141" i="23"/>
  <c r="AF4140" i="23"/>
  <c r="AF4139" i="23"/>
  <c r="AF4138" i="23"/>
  <c r="AF4137" i="23"/>
  <c r="AF4136" i="23"/>
  <c r="AF4135" i="23"/>
  <c r="AF4134" i="23"/>
  <c r="AF4133" i="23"/>
  <c r="AF4132" i="23"/>
  <c r="AF4131" i="23"/>
  <c r="AF4130" i="23"/>
  <c r="AF4129" i="23"/>
  <c r="AF4128" i="23"/>
  <c r="AF4127" i="23"/>
  <c r="AF4126" i="23"/>
  <c r="AF4125" i="23"/>
  <c r="AF4124" i="23"/>
  <c r="AF4123" i="23"/>
  <c r="AF4122" i="23"/>
  <c r="AF4121" i="23"/>
  <c r="AF4120" i="23"/>
  <c r="AF4119" i="23"/>
  <c r="AF4118" i="23"/>
  <c r="AF4117" i="23"/>
  <c r="AF4116" i="23"/>
  <c r="AF4115" i="23"/>
  <c r="AF4114" i="23"/>
  <c r="AF4113" i="23"/>
  <c r="AF4112" i="23"/>
  <c r="AF4111" i="23"/>
  <c r="AF4110" i="23"/>
  <c r="AF4109" i="23"/>
  <c r="AF4108" i="23"/>
  <c r="AF4107" i="23"/>
  <c r="AF4106" i="23"/>
  <c r="AF4105" i="23"/>
  <c r="AF4104" i="23"/>
  <c r="AF4103" i="23"/>
  <c r="AF4102" i="23"/>
  <c r="AF4101" i="23"/>
  <c r="AF4100" i="23"/>
  <c r="AF4099" i="23"/>
  <c r="AF4098" i="23"/>
  <c r="AF4097" i="23"/>
  <c r="AF4096" i="23"/>
  <c r="AF4095" i="23"/>
  <c r="AF4094" i="23"/>
  <c r="AF4093" i="23"/>
  <c r="AF4092" i="23"/>
  <c r="AF4091" i="23"/>
  <c r="AF4090" i="23"/>
  <c r="AF4089" i="23"/>
  <c r="AF4088" i="23"/>
  <c r="AF4087" i="23"/>
  <c r="AF4086" i="23"/>
  <c r="AF4085" i="23"/>
  <c r="AF4084" i="23"/>
  <c r="AF4083" i="23"/>
  <c r="AF4082" i="23"/>
  <c r="AF4081" i="23"/>
  <c r="AF4080" i="23"/>
  <c r="AF4079" i="23"/>
  <c r="AF4078" i="23"/>
  <c r="AF4077" i="23"/>
  <c r="AF4076" i="23"/>
  <c r="AF4075" i="23"/>
  <c r="AF4074" i="23"/>
  <c r="AF4073" i="23"/>
  <c r="AF4072" i="23"/>
  <c r="AF4071" i="23"/>
  <c r="AF4070" i="23"/>
  <c r="AF4069" i="23"/>
  <c r="AF4068" i="23"/>
  <c r="AF4067" i="23"/>
  <c r="AF4066" i="23"/>
  <c r="AF4065" i="23"/>
  <c r="AF4064" i="23"/>
  <c r="AF4063" i="23"/>
  <c r="AF4062" i="23"/>
  <c r="AF4061" i="23"/>
  <c r="AF4060" i="23"/>
  <c r="AF4059" i="23"/>
  <c r="AF4058" i="23"/>
  <c r="AF4057" i="23"/>
  <c r="AF4056" i="23"/>
  <c r="AF4055" i="23"/>
  <c r="AF4054" i="23"/>
  <c r="AF4053" i="23"/>
  <c r="AF4052" i="23"/>
  <c r="AF4051" i="23"/>
  <c r="AF4050" i="23"/>
  <c r="AF4049" i="23"/>
  <c r="AF4048" i="23"/>
  <c r="AF4047" i="23"/>
  <c r="AF4046" i="23"/>
  <c r="AF4045" i="23"/>
  <c r="AF4044" i="23"/>
  <c r="AF4043" i="23"/>
  <c r="AF4042" i="23"/>
  <c r="AF4041" i="23"/>
  <c r="AF4040" i="23"/>
  <c r="AF4039" i="23"/>
  <c r="AF4038" i="23"/>
  <c r="AF4037" i="23"/>
  <c r="AF4036" i="23"/>
  <c r="AF4035" i="23"/>
  <c r="AF4034" i="23"/>
  <c r="AF4033" i="23"/>
  <c r="AF4032" i="23"/>
  <c r="AF4031" i="23"/>
  <c r="AF4030" i="23"/>
  <c r="AF4029" i="23"/>
  <c r="AF4028" i="23"/>
  <c r="AF4027" i="23"/>
  <c r="AF4026" i="23"/>
  <c r="AF4025" i="23"/>
  <c r="AF4024" i="23"/>
  <c r="AF4023" i="23"/>
  <c r="AF4022" i="23"/>
  <c r="AF4021" i="23"/>
  <c r="AF4020" i="23"/>
  <c r="AF4019" i="23"/>
  <c r="AF4018" i="23"/>
  <c r="AF4017" i="23"/>
  <c r="AF4016" i="23"/>
  <c r="AF4015" i="23"/>
  <c r="AF4014" i="23"/>
  <c r="AF4013" i="23"/>
  <c r="AF4012" i="23"/>
  <c r="AF4011" i="23"/>
  <c r="AF4010" i="23"/>
  <c r="AF4009" i="23"/>
  <c r="AF4008" i="23"/>
  <c r="AF4007" i="23"/>
  <c r="AF4006" i="23"/>
  <c r="AF4005" i="23"/>
  <c r="AF4004" i="23"/>
  <c r="AF4003" i="23"/>
  <c r="AF4002" i="23"/>
  <c r="AF4001" i="23"/>
  <c r="AF4000" i="23"/>
  <c r="AF3999" i="23"/>
  <c r="AF3998" i="23"/>
  <c r="AF3997" i="23"/>
  <c r="AF3996" i="23"/>
  <c r="AF3995" i="23"/>
  <c r="AF3994" i="23"/>
  <c r="AF3993" i="23"/>
  <c r="AF3992" i="23"/>
  <c r="AF3991" i="23"/>
  <c r="AF3990" i="23"/>
  <c r="AF3989" i="23"/>
  <c r="AF3988" i="23"/>
  <c r="AF3987" i="23"/>
  <c r="AF3986" i="23"/>
  <c r="AF3985" i="23"/>
  <c r="AF3984" i="23"/>
  <c r="AF3983" i="23"/>
  <c r="AF3982" i="23"/>
  <c r="AF3981" i="23"/>
  <c r="AF3980" i="23"/>
  <c r="AF3979" i="23"/>
  <c r="AF3978" i="23"/>
  <c r="AF3977" i="23"/>
  <c r="AF3976" i="23"/>
  <c r="AF3975" i="23"/>
  <c r="AF3974" i="23"/>
  <c r="AF3973" i="23"/>
  <c r="AF3972" i="23"/>
  <c r="AF3971" i="23"/>
  <c r="AF3970" i="23"/>
  <c r="AF3969" i="23"/>
  <c r="AF3968" i="23"/>
  <c r="AF3967" i="23"/>
  <c r="AF3966" i="23"/>
  <c r="AF3965" i="23"/>
  <c r="AF3964" i="23"/>
  <c r="AF3963" i="23"/>
  <c r="AF3962" i="23"/>
  <c r="AF3961" i="23"/>
  <c r="AF3960" i="23"/>
  <c r="AF3959" i="23"/>
  <c r="AF3958" i="23"/>
  <c r="AF3957" i="23"/>
  <c r="AF3956" i="23"/>
  <c r="AF3955" i="23"/>
  <c r="AF3954" i="23"/>
  <c r="AF3953" i="23"/>
  <c r="AF3952" i="23"/>
  <c r="AF3951" i="23"/>
  <c r="AF3950" i="23"/>
  <c r="AF3949" i="23"/>
  <c r="AF3948" i="23"/>
  <c r="AF3947" i="23"/>
  <c r="AF3946" i="23"/>
  <c r="AF3945" i="23"/>
  <c r="AF3944" i="23"/>
  <c r="AF3943" i="23"/>
  <c r="AF3942" i="23"/>
  <c r="AF3941" i="23"/>
  <c r="AF3940" i="23"/>
  <c r="AF3939" i="23"/>
  <c r="AF3938" i="23"/>
  <c r="AF3937" i="23"/>
  <c r="AF3936" i="23"/>
  <c r="AF3935" i="23"/>
  <c r="AF3934" i="23"/>
  <c r="AF3933" i="23"/>
  <c r="AF3932" i="23"/>
  <c r="AF3931" i="23"/>
  <c r="AF3930" i="23"/>
  <c r="AF3929" i="23"/>
  <c r="AF3928" i="23"/>
  <c r="AF3927" i="23"/>
  <c r="AF3926" i="23"/>
  <c r="AF3925" i="23"/>
  <c r="AF3924" i="23"/>
  <c r="AF3923" i="23"/>
  <c r="AF3922" i="23"/>
  <c r="AF3921" i="23"/>
  <c r="AF3920" i="23"/>
  <c r="AF3919" i="23"/>
  <c r="AF3918" i="23"/>
  <c r="AF3917" i="23"/>
  <c r="AF3916" i="23"/>
  <c r="AF3915" i="23"/>
  <c r="AF3914" i="23"/>
  <c r="AF3913" i="23"/>
  <c r="AF3912" i="23"/>
  <c r="AF3911" i="23"/>
  <c r="AF3910" i="23"/>
  <c r="AF3909" i="23"/>
  <c r="AF3908" i="23"/>
  <c r="AF3907" i="23"/>
  <c r="AF3906" i="23"/>
  <c r="AF3905" i="23"/>
  <c r="AF3904" i="23"/>
  <c r="AF3903" i="23"/>
  <c r="AF3902" i="23"/>
  <c r="AF3901" i="23"/>
  <c r="AF3900" i="23"/>
  <c r="AF3899" i="23"/>
  <c r="AF3898" i="23"/>
  <c r="AF3897" i="23"/>
  <c r="AF3896" i="23"/>
  <c r="AF3895" i="23"/>
  <c r="AF3894" i="23"/>
  <c r="AF3893" i="23"/>
  <c r="AF3892" i="23"/>
  <c r="AF3891" i="23"/>
  <c r="AF3890" i="23"/>
  <c r="AF3889" i="23"/>
  <c r="AF3888" i="23"/>
  <c r="AF3887" i="23"/>
  <c r="AF3886" i="23"/>
  <c r="AF3885" i="23"/>
  <c r="AF3884" i="23"/>
  <c r="AF3883" i="23"/>
  <c r="AF3882" i="23"/>
  <c r="AF3881" i="23"/>
  <c r="AF3880" i="23"/>
  <c r="AF3879" i="23"/>
  <c r="AF3878" i="23"/>
  <c r="AF3877" i="23"/>
  <c r="AF3876" i="23"/>
  <c r="AF3875" i="23"/>
  <c r="AF3874" i="23"/>
  <c r="AF3873" i="23"/>
  <c r="AF3872" i="23"/>
  <c r="AF3871" i="23"/>
  <c r="AF3870" i="23"/>
  <c r="AF3869" i="23"/>
  <c r="AF3868" i="23"/>
  <c r="AF3867" i="23"/>
  <c r="AF3866" i="23"/>
  <c r="AF3865" i="23"/>
  <c r="AF3864" i="23"/>
  <c r="AF3863" i="23"/>
  <c r="AF3862" i="23"/>
  <c r="AF3861" i="23"/>
  <c r="AF3860" i="23"/>
  <c r="AF3859" i="23"/>
  <c r="AF3858" i="23"/>
  <c r="AF3857" i="23"/>
  <c r="AF3856" i="23"/>
  <c r="AF3855" i="23"/>
  <c r="AF3854" i="23"/>
  <c r="AF3853" i="23"/>
  <c r="AF3852" i="23"/>
  <c r="AF3851" i="23"/>
  <c r="AF3850" i="23"/>
  <c r="AF3849" i="23"/>
  <c r="AF3848" i="23"/>
  <c r="AF3847" i="23"/>
  <c r="AF3846" i="23"/>
  <c r="AF3845" i="23"/>
  <c r="AF3844" i="23"/>
  <c r="AF3843" i="23"/>
  <c r="AF3842" i="23"/>
  <c r="AF3841" i="23"/>
  <c r="AF3840" i="23"/>
  <c r="AF3839" i="23"/>
  <c r="AF3838" i="23"/>
  <c r="AF3837" i="23"/>
  <c r="AF3836" i="23"/>
  <c r="AF3835" i="23"/>
  <c r="AF3834" i="23"/>
  <c r="AF3833" i="23"/>
  <c r="AF3832" i="23"/>
  <c r="AF3831" i="23"/>
  <c r="AF3830" i="23"/>
  <c r="AF3829" i="23"/>
  <c r="AF3828" i="23"/>
  <c r="AF3827" i="23"/>
  <c r="AF3826" i="23"/>
  <c r="AF3825" i="23"/>
  <c r="AF3824" i="23"/>
  <c r="AF3823" i="23"/>
  <c r="AF3822" i="23"/>
  <c r="AF3821" i="23"/>
  <c r="AF3820" i="23"/>
  <c r="AF3819" i="23"/>
  <c r="AF3818" i="23"/>
  <c r="AF3817" i="23"/>
  <c r="AF3816" i="23"/>
  <c r="AF3815" i="23"/>
  <c r="AF3814" i="23"/>
  <c r="AF3813" i="23"/>
  <c r="AF3812" i="23"/>
  <c r="AF3811" i="23"/>
  <c r="AF3810" i="23"/>
  <c r="AF3809" i="23"/>
  <c r="AF3808" i="23"/>
  <c r="AF3807" i="23"/>
  <c r="AF3806" i="23"/>
  <c r="AF3805" i="23"/>
  <c r="AF3804" i="23"/>
  <c r="AF3803" i="23"/>
  <c r="AF3802" i="23"/>
  <c r="AF3801" i="23"/>
  <c r="AF3800" i="23"/>
  <c r="AF3799" i="23"/>
  <c r="AF3798" i="23"/>
  <c r="AF3797" i="23"/>
  <c r="AF3796" i="23"/>
  <c r="AF3795" i="23"/>
  <c r="AF3794" i="23"/>
  <c r="AF3793" i="23"/>
  <c r="AF3792" i="23"/>
  <c r="AF3791" i="23"/>
  <c r="AF3790" i="23"/>
  <c r="AF3789" i="23"/>
  <c r="AF3788" i="23"/>
  <c r="AF3787" i="23"/>
  <c r="AF3786" i="23"/>
  <c r="AF3785" i="23"/>
  <c r="AF3784" i="23"/>
  <c r="AF3783" i="23"/>
  <c r="AF3782" i="23"/>
  <c r="AF3781" i="23"/>
  <c r="AF3780" i="23"/>
  <c r="AF3779" i="23"/>
  <c r="AF3778" i="23"/>
  <c r="AF3777" i="23"/>
  <c r="AF3776" i="23"/>
  <c r="AF3775" i="23"/>
  <c r="AF3774" i="23"/>
  <c r="AF3773" i="23"/>
  <c r="AF3772" i="23"/>
  <c r="AF3771" i="23"/>
  <c r="AF3770" i="23"/>
  <c r="AF3769" i="23"/>
  <c r="AF3768" i="23"/>
  <c r="AF3767" i="23"/>
  <c r="AF3766" i="23"/>
  <c r="AF3765" i="23"/>
  <c r="AF3764" i="23"/>
  <c r="AF3763" i="23"/>
  <c r="AF3762" i="23"/>
  <c r="AF3761" i="23"/>
  <c r="AF3760" i="23"/>
  <c r="AF3759" i="23"/>
  <c r="AF3758" i="23"/>
  <c r="AF3757" i="23"/>
  <c r="AF3756" i="23"/>
  <c r="AF3755" i="23"/>
  <c r="AF3754" i="23"/>
  <c r="AF3753" i="23"/>
  <c r="AF3752" i="23"/>
  <c r="AF3751" i="23"/>
  <c r="AF3750" i="23"/>
  <c r="AF3749" i="23"/>
  <c r="AF3748" i="23"/>
  <c r="AF3747" i="23"/>
  <c r="AF3746" i="23"/>
  <c r="AF3745" i="23"/>
  <c r="AF3744" i="23"/>
  <c r="AF3743" i="23"/>
  <c r="AF3742" i="23"/>
  <c r="AF3741" i="23"/>
  <c r="AF3740" i="23"/>
  <c r="AF3739" i="23"/>
  <c r="AF3738" i="23"/>
  <c r="AF3737" i="23"/>
  <c r="AF3736" i="23"/>
  <c r="AF3735" i="23"/>
  <c r="AF3734" i="23"/>
  <c r="AF3733" i="23"/>
  <c r="AF3732" i="23"/>
  <c r="AF3731" i="23"/>
  <c r="AF3730" i="23"/>
  <c r="AF3729" i="23"/>
  <c r="AF3728" i="23"/>
  <c r="AF3727" i="23"/>
  <c r="AF3726" i="23"/>
  <c r="AF3725" i="23"/>
  <c r="AF3724" i="23"/>
  <c r="AF3723" i="23"/>
  <c r="AF3722" i="23"/>
  <c r="AF3721" i="23"/>
  <c r="AF3720" i="23"/>
  <c r="AF3719" i="23"/>
  <c r="AF3718" i="23"/>
  <c r="AF3717" i="23"/>
  <c r="AF3716" i="23"/>
  <c r="AF3715" i="23"/>
  <c r="AF3714" i="23"/>
  <c r="AF3713" i="23"/>
  <c r="AF3712" i="23"/>
  <c r="AF3711" i="23"/>
  <c r="AF3710" i="23"/>
  <c r="AF3709" i="23"/>
  <c r="AF3708" i="23"/>
  <c r="AF3707" i="23"/>
  <c r="AF3706" i="23"/>
  <c r="AF3705" i="23"/>
  <c r="AF3704" i="23"/>
  <c r="AF3703" i="23"/>
  <c r="AF3702" i="23"/>
  <c r="AF3701" i="23"/>
  <c r="AF3700" i="23"/>
  <c r="AF3699" i="23"/>
  <c r="AF3698" i="23"/>
  <c r="AF3697" i="23"/>
  <c r="AF3696" i="23"/>
  <c r="AF3695" i="23"/>
  <c r="AF3694" i="23"/>
  <c r="AF3693" i="23"/>
  <c r="AF3692" i="23"/>
  <c r="AF3691" i="23"/>
  <c r="AF3690" i="23"/>
  <c r="AF3689" i="23"/>
  <c r="AF3688" i="23"/>
  <c r="AF3687" i="23"/>
  <c r="AF3686" i="23"/>
  <c r="AF3685" i="23"/>
  <c r="AF3684" i="23"/>
  <c r="AF3683" i="23"/>
  <c r="AF3682" i="23"/>
  <c r="AF3681" i="23"/>
  <c r="AF3680" i="23"/>
  <c r="AF3679" i="23"/>
  <c r="AF3678" i="23"/>
  <c r="AF3677" i="23"/>
  <c r="AF3676" i="23"/>
  <c r="AF3675" i="23"/>
  <c r="AF3674" i="23"/>
  <c r="AF3673" i="23"/>
  <c r="AF3672" i="23"/>
  <c r="AF3671" i="23"/>
  <c r="AF3670" i="23"/>
  <c r="AF3669" i="23"/>
  <c r="AF3668" i="23"/>
  <c r="AF3667" i="23"/>
  <c r="AF3666" i="23"/>
  <c r="AF3665" i="23"/>
  <c r="AF3664" i="23"/>
  <c r="AF3663" i="23"/>
  <c r="AF3662" i="23"/>
  <c r="AF3661" i="23"/>
  <c r="AF3660" i="23"/>
  <c r="AF3659" i="23"/>
  <c r="AF3658" i="23"/>
  <c r="AF3657" i="23"/>
  <c r="AF3656" i="23"/>
  <c r="AF3655" i="23"/>
  <c r="AF3654" i="23"/>
  <c r="AF3653" i="23"/>
  <c r="AF3652" i="23"/>
  <c r="AF3651" i="23"/>
  <c r="AF3650" i="23"/>
  <c r="AF3649" i="23"/>
  <c r="AF3648" i="23"/>
  <c r="AF3647" i="23"/>
  <c r="AF3646" i="23"/>
  <c r="AF3645" i="23"/>
  <c r="AF3644" i="23"/>
  <c r="AF3643" i="23"/>
  <c r="AF3642" i="23"/>
  <c r="AF3641" i="23"/>
  <c r="AF3640" i="23"/>
  <c r="AF3639" i="23"/>
  <c r="AF3638" i="23"/>
  <c r="AF3637" i="23"/>
  <c r="AF3636" i="23"/>
  <c r="AF3635" i="23"/>
  <c r="AF3634" i="23"/>
  <c r="AF3633" i="23"/>
  <c r="AF3632" i="23"/>
  <c r="AF3631" i="23"/>
  <c r="AF3630" i="23"/>
  <c r="AF3629" i="23"/>
  <c r="AF3628" i="23"/>
  <c r="AF3627" i="23"/>
  <c r="AF3626" i="23"/>
  <c r="AF3625" i="23"/>
  <c r="AF3624" i="23"/>
  <c r="AF3623" i="23"/>
  <c r="AF3622" i="23"/>
  <c r="AF3621" i="23"/>
  <c r="AF3620" i="23"/>
  <c r="AF3619" i="23"/>
  <c r="AF3618" i="23"/>
  <c r="AF3617" i="23"/>
  <c r="AF3616" i="23"/>
  <c r="AF3615" i="23"/>
  <c r="AF3614" i="23"/>
  <c r="AF3613" i="23"/>
  <c r="AF3612" i="23"/>
  <c r="AF3611" i="23"/>
  <c r="AF3610" i="23"/>
  <c r="AF3609" i="23"/>
  <c r="AF3608" i="23"/>
  <c r="AF3607" i="23"/>
  <c r="AF3606" i="23"/>
  <c r="AF3605" i="23"/>
  <c r="AF3604" i="23"/>
  <c r="AF3603" i="23"/>
  <c r="AF3602" i="23"/>
  <c r="AF3601" i="23"/>
  <c r="AF3600" i="23"/>
  <c r="AF3599" i="23"/>
  <c r="AF3598" i="23"/>
  <c r="AF3597" i="23"/>
  <c r="AF3596" i="23"/>
  <c r="AF3595" i="23"/>
  <c r="AF3594" i="23"/>
  <c r="AF3593" i="23"/>
  <c r="AF3592" i="23"/>
  <c r="AF3591" i="23"/>
  <c r="AF3590" i="23"/>
  <c r="AF3589" i="23"/>
  <c r="AF3588" i="23"/>
  <c r="AF3587" i="23"/>
  <c r="AF3586" i="23"/>
  <c r="AF3585" i="23"/>
  <c r="AF3584" i="23"/>
  <c r="AF3583" i="23"/>
  <c r="AF3582" i="23"/>
  <c r="AF3581" i="23"/>
  <c r="AF3580" i="23"/>
  <c r="AF3579" i="23"/>
  <c r="AF3578" i="23"/>
  <c r="AF3577" i="23"/>
  <c r="AF3576" i="23"/>
  <c r="AF3575" i="23"/>
  <c r="AF3574" i="23"/>
  <c r="AF3573" i="23"/>
  <c r="AF3572" i="23"/>
  <c r="AF3571" i="23"/>
  <c r="AF3570" i="23"/>
  <c r="AF3569" i="23"/>
  <c r="AF3568" i="23"/>
  <c r="AF3567" i="23"/>
  <c r="AF3566" i="23"/>
  <c r="AF3565" i="23"/>
  <c r="AF3564" i="23"/>
  <c r="AF3563" i="23"/>
  <c r="AF3562" i="23"/>
  <c r="AF3561" i="23"/>
  <c r="AF3560" i="23"/>
  <c r="AF3559" i="23"/>
  <c r="AF3558" i="23"/>
  <c r="AF3557" i="23"/>
  <c r="AF3556" i="23"/>
  <c r="AF3555" i="23"/>
  <c r="AF3554" i="23"/>
  <c r="AF3553" i="23"/>
  <c r="AF3552" i="23"/>
  <c r="AF3551" i="23"/>
  <c r="AF3550" i="23"/>
  <c r="AF3549" i="23"/>
  <c r="AF3548" i="23"/>
  <c r="AF3547" i="23"/>
  <c r="AF3546" i="23"/>
  <c r="AF3545" i="23"/>
  <c r="AF3544" i="23"/>
  <c r="AF3543" i="23"/>
  <c r="AF3542" i="23"/>
  <c r="AF3541" i="23"/>
  <c r="AF3540" i="23"/>
  <c r="AF3539" i="23"/>
  <c r="AF3538" i="23"/>
  <c r="AF3537" i="23"/>
  <c r="AF3536" i="23"/>
  <c r="AF3535" i="23"/>
  <c r="AF3534" i="23"/>
  <c r="AF3533" i="23"/>
  <c r="AF3532" i="23"/>
  <c r="AF3531" i="23"/>
  <c r="AF3530" i="23"/>
  <c r="AF3529" i="23"/>
  <c r="AF3528" i="23"/>
  <c r="AF3527" i="23"/>
  <c r="AF3526" i="23"/>
  <c r="AF3525" i="23"/>
  <c r="AF3524" i="23"/>
  <c r="AF3523" i="23"/>
  <c r="AF3522" i="23"/>
  <c r="AF3521" i="23"/>
  <c r="AF3520" i="23"/>
  <c r="AF3519" i="23"/>
  <c r="AF3518" i="23"/>
  <c r="AF3517" i="23"/>
  <c r="AF3516" i="23"/>
  <c r="AF3515" i="23"/>
  <c r="AF3514" i="23"/>
  <c r="AF3513" i="23"/>
  <c r="AF3512" i="23"/>
  <c r="AF3511" i="23"/>
  <c r="AF3510" i="23"/>
  <c r="AF3509" i="23"/>
  <c r="AF3508" i="23"/>
  <c r="AF3507" i="23"/>
  <c r="AF3506" i="23"/>
  <c r="AF3505" i="23"/>
  <c r="AF3504" i="23"/>
  <c r="AF3503" i="23"/>
  <c r="AF3502" i="23"/>
  <c r="AF3501" i="23"/>
  <c r="AF3500" i="23"/>
  <c r="AF3499" i="23"/>
  <c r="AF3498" i="23"/>
  <c r="AF3497" i="23"/>
  <c r="AF3496" i="23"/>
  <c r="AF3495" i="23"/>
  <c r="AF3494" i="23"/>
  <c r="AF3493" i="23"/>
  <c r="AF3492" i="23"/>
  <c r="AF3491" i="23"/>
  <c r="AF3490" i="23"/>
  <c r="AF3489" i="23"/>
  <c r="AF3488" i="23"/>
  <c r="AF3487" i="23"/>
  <c r="AF3486" i="23"/>
  <c r="AF3485" i="23"/>
  <c r="AF3484" i="23"/>
  <c r="AF3483" i="23"/>
  <c r="AF3482" i="23"/>
  <c r="AF3481" i="23"/>
  <c r="AF3480" i="23"/>
  <c r="AF3479" i="23"/>
  <c r="AF3478" i="23"/>
  <c r="AF3477" i="23"/>
  <c r="AF3476" i="23"/>
  <c r="AF3475" i="23"/>
  <c r="AF3474" i="23"/>
  <c r="AF3473" i="23"/>
  <c r="AF3472" i="23"/>
  <c r="AF3471" i="23"/>
  <c r="AF3470" i="23"/>
  <c r="AF3469" i="23"/>
  <c r="AF3468" i="23"/>
  <c r="AF3467" i="23"/>
  <c r="AF3466" i="23"/>
  <c r="AF3465" i="23"/>
  <c r="AF3464" i="23"/>
  <c r="AF3463" i="23"/>
  <c r="AF3462" i="23"/>
  <c r="AF3461" i="23"/>
  <c r="AF3460" i="23"/>
  <c r="AF3459" i="23"/>
  <c r="AF3458" i="23"/>
  <c r="AF3457" i="23"/>
  <c r="AF3456" i="23"/>
  <c r="AF3455" i="23"/>
  <c r="AF3454" i="23"/>
  <c r="AF3453" i="23"/>
  <c r="AF3452" i="23"/>
  <c r="AF3451" i="23"/>
  <c r="AF3450" i="23"/>
  <c r="AF3449" i="23"/>
  <c r="AF3448" i="23"/>
  <c r="AF3447" i="23"/>
  <c r="AF3446" i="23"/>
  <c r="AF3445" i="23"/>
  <c r="AF3444" i="23"/>
  <c r="AF3443" i="23"/>
  <c r="AF3442" i="23"/>
  <c r="AF3441" i="23"/>
  <c r="AF3440" i="23"/>
  <c r="AF3439" i="23"/>
  <c r="AF3438" i="23"/>
  <c r="AF3437" i="23"/>
  <c r="AF3436" i="23"/>
  <c r="AF3435" i="23"/>
  <c r="AF3434" i="23"/>
  <c r="AF3433" i="23"/>
  <c r="AF3432" i="23"/>
  <c r="AF3431" i="23"/>
  <c r="AF3430" i="23"/>
  <c r="AF3429" i="23"/>
  <c r="AF3428" i="23"/>
  <c r="AF3427" i="23"/>
  <c r="AF3426" i="23"/>
  <c r="AF3425" i="23"/>
  <c r="AF3424" i="23"/>
  <c r="AF3423" i="23"/>
  <c r="AF3422" i="23"/>
  <c r="AF3421" i="23"/>
  <c r="AF3420" i="23"/>
  <c r="AF3419" i="23"/>
  <c r="AF3418" i="23"/>
  <c r="AF3417" i="23"/>
  <c r="AF3416" i="23"/>
  <c r="AF3415" i="23"/>
  <c r="AF3414" i="23"/>
  <c r="AF3413" i="23"/>
  <c r="AF3412" i="23"/>
  <c r="AF3411" i="23"/>
  <c r="AF3410" i="23"/>
  <c r="AF3409" i="23"/>
  <c r="AF3408" i="23"/>
  <c r="AF3407" i="23"/>
  <c r="AF3406" i="23"/>
  <c r="AF3405" i="23"/>
  <c r="AF3404" i="23"/>
  <c r="AF3403" i="23"/>
  <c r="AF3402" i="23"/>
  <c r="AF3401" i="23"/>
  <c r="AF3400" i="23"/>
  <c r="AF3399" i="23"/>
  <c r="AF3398" i="23"/>
  <c r="AF3397" i="23"/>
  <c r="AF3396" i="23"/>
  <c r="AF3395" i="23"/>
  <c r="AF3394" i="23"/>
  <c r="AF3393" i="23"/>
  <c r="AF3392" i="23"/>
  <c r="AF3391" i="23"/>
  <c r="AF3390" i="23"/>
  <c r="AF3389" i="23"/>
  <c r="AF3388" i="23"/>
  <c r="AF3387" i="23"/>
  <c r="AF3386" i="23"/>
  <c r="AF3385" i="23"/>
  <c r="AF3384" i="23"/>
  <c r="AF3383" i="23"/>
  <c r="AF3382" i="23"/>
  <c r="AF3381" i="23"/>
  <c r="AF3380" i="23"/>
  <c r="AF3379" i="23"/>
  <c r="AF3378" i="23"/>
  <c r="AF3377" i="23"/>
  <c r="AF3376" i="23"/>
  <c r="AF3375" i="23"/>
  <c r="AF3374" i="23"/>
  <c r="AF3373" i="23"/>
  <c r="AF3372" i="23"/>
  <c r="AF3371" i="23"/>
  <c r="AF3370" i="23"/>
  <c r="AF3369" i="23"/>
  <c r="AF3368" i="23"/>
  <c r="AF3367" i="23"/>
  <c r="AF3366" i="23"/>
  <c r="AF3365" i="23"/>
  <c r="AF3364" i="23"/>
  <c r="AF3363" i="23"/>
  <c r="AF3362" i="23"/>
  <c r="AF3361" i="23"/>
  <c r="AF3360" i="23"/>
  <c r="AF3359" i="23"/>
  <c r="AF3358" i="23"/>
  <c r="AF3357" i="23"/>
  <c r="AF3356" i="23"/>
  <c r="AF3355" i="23"/>
  <c r="AF3354" i="23"/>
  <c r="AF3353" i="23"/>
  <c r="AF3352" i="23"/>
  <c r="AF3351" i="23"/>
  <c r="AF3350" i="23"/>
  <c r="AF3349" i="23"/>
  <c r="AF3348" i="23"/>
  <c r="AF3347" i="23"/>
  <c r="AF3346" i="23"/>
  <c r="AF3345" i="23"/>
  <c r="AF3344" i="23"/>
  <c r="AF3343" i="23"/>
  <c r="AF3342" i="23"/>
  <c r="AF3341" i="23"/>
  <c r="AF3340" i="23"/>
  <c r="AF3339" i="23"/>
  <c r="AF3338" i="23"/>
  <c r="AF3337" i="23"/>
  <c r="AF3336" i="23"/>
  <c r="AF3335" i="23"/>
  <c r="AF3334" i="23"/>
  <c r="AF3333" i="23"/>
  <c r="AF3332" i="23"/>
  <c r="AF3331" i="23"/>
  <c r="AF3330" i="23"/>
  <c r="AF3329" i="23"/>
  <c r="AF3328" i="23"/>
  <c r="AF3327" i="23"/>
  <c r="AF3326" i="23"/>
  <c r="AF3325" i="23"/>
  <c r="AF3324" i="23"/>
  <c r="AF3323" i="23"/>
  <c r="AF3322" i="23"/>
  <c r="AF3321" i="23"/>
  <c r="AF3320" i="23"/>
  <c r="AF3319" i="23"/>
  <c r="AF3318" i="23"/>
  <c r="AF3317" i="23"/>
  <c r="AF3316" i="23"/>
  <c r="AF3315" i="23"/>
  <c r="AF3314" i="23"/>
  <c r="AF3313" i="23"/>
  <c r="AF3312" i="23"/>
  <c r="AF3311" i="23"/>
  <c r="AF3310" i="23"/>
  <c r="AF3309" i="23"/>
  <c r="AF3308" i="23"/>
  <c r="AF3307" i="23"/>
  <c r="AF3306" i="23"/>
  <c r="AF3305" i="23"/>
  <c r="AF3304" i="23"/>
  <c r="AF3303" i="23"/>
  <c r="AF3302" i="23"/>
  <c r="AF3301" i="23"/>
  <c r="AF3300" i="23"/>
  <c r="AF3299" i="23"/>
  <c r="AF3298" i="23"/>
  <c r="AF3297" i="23"/>
  <c r="AF3296" i="23"/>
  <c r="AF3295" i="23"/>
  <c r="AF3294" i="23"/>
  <c r="AF3293" i="23"/>
  <c r="AF3292" i="23"/>
  <c r="AF3291" i="23"/>
  <c r="AF3290" i="23"/>
  <c r="AF3289" i="23"/>
  <c r="AF3288" i="23"/>
  <c r="AF3287" i="23"/>
  <c r="AF3286" i="23"/>
  <c r="AF3285" i="23"/>
  <c r="AF3284" i="23"/>
  <c r="AF3283" i="23"/>
  <c r="AF3282" i="23"/>
  <c r="AF3281" i="23"/>
  <c r="AF3280" i="23"/>
  <c r="AF3279" i="23"/>
  <c r="AF3278" i="23"/>
  <c r="AF3277" i="23"/>
  <c r="AF3276" i="23"/>
  <c r="AF3275" i="23"/>
  <c r="AF3274" i="23"/>
  <c r="AF3273" i="23"/>
  <c r="AF3272" i="23"/>
  <c r="AF3271" i="23"/>
  <c r="AF3270" i="23"/>
  <c r="AF3269" i="23"/>
  <c r="AF3268" i="23"/>
  <c r="AF3267" i="23"/>
  <c r="AF3266" i="23"/>
  <c r="AF3265" i="23"/>
  <c r="AF3264" i="23"/>
  <c r="AF3263" i="23"/>
  <c r="AF3262" i="23"/>
  <c r="AF3261" i="23"/>
  <c r="AF3260" i="23"/>
  <c r="AF3259" i="23"/>
  <c r="AF3258" i="23"/>
  <c r="AF3257" i="23"/>
  <c r="AF3256" i="23"/>
  <c r="AF3255" i="23"/>
  <c r="AF3254" i="23"/>
  <c r="AF3253" i="23"/>
  <c r="AF3252" i="23"/>
  <c r="AF3251" i="23"/>
  <c r="AF3250" i="23"/>
  <c r="AF3249" i="23"/>
  <c r="AF3248" i="23"/>
  <c r="AF3247" i="23"/>
  <c r="AF3246" i="23"/>
  <c r="AF3245" i="23"/>
  <c r="AF3244" i="23"/>
  <c r="AF3243" i="23"/>
  <c r="AF3242" i="23"/>
  <c r="AF3241" i="23"/>
  <c r="AF3240" i="23"/>
  <c r="AF3239" i="23"/>
  <c r="AF3238" i="23"/>
  <c r="AF3237" i="23"/>
  <c r="AF3236" i="23"/>
  <c r="AF3235" i="23"/>
  <c r="AF3234" i="23"/>
  <c r="AF3233" i="23"/>
  <c r="AF3232" i="23"/>
  <c r="AF3231" i="23"/>
  <c r="AF3230" i="23"/>
  <c r="AF3229" i="23"/>
  <c r="AF3228" i="23"/>
  <c r="AF3227" i="23"/>
  <c r="AF3226" i="23"/>
  <c r="AF3225" i="23"/>
  <c r="AF3224" i="23"/>
  <c r="AF3223" i="23"/>
  <c r="AF3222" i="23"/>
  <c r="AF3221" i="23"/>
  <c r="AF3220" i="23"/>
  <c r="AF3219" i="23"/>
  <c r="AF3218" i="23"/>
  <c r="AF3217" i="23"/>
  <c r="AF3216" i="23"/>
  <c r="AF3215" i="23"/>
  <c r="AF3214" i="23"/>
  <c r="AF3213" i="23"/>
  <c r="AF3212" i="23"/>
  <c r="AF3211" i="23"/>
  <c r="AF3210" i="23"/>
  <c r="AF3209" i="23"/>
  <c r="AF3208" i="23"/>
  <c r="AF3207" i="23"/>
  <c r="AF3206" i="23"/>
  <c r="AF3205" i="23"/>
  <c r="AF3204" i="23"/>
  <c r="AF3203" i="23"/>
  <c r="AF3202" i="23"/>
  <c r="AF3201" i="23"/>
  <c r="AF3200" i="23"/>
  <c r="AF3199" i="23"/>
  <c r="AF3198" i="23"/>
  <c r="AF3197" i="23"/>
  <c r="AF3196" i="23"/>
  <c r="AF3195" i="23"/>
  <c r="AF3194" i="23"/>
  <c r="AF3193" i="23"/>
  <c r="AF3192" i="23"/>
  <c r="AF3191" i="23"/>
  <c r="AF3190" i="23"/>
  <c r="AF3189" i="23"/>
  <c r="AF3188" i="23"/>
  <c r="AF3187" i="23"/>
  <c r="AF3186" i="23"/>
  <c r="AF3185" i="23"/>
  <c r="AF3184" i="23"/>
  <c r="AF3183" i="23"/>
  <c r="AF3182" i="23"/>
  <c r="AF3181" i="23"/>
  <c r="AF3180" i="23"/>
  <c r="AF3179" i="23"/>
  <c r="AF3178" i="23"/>
  <c r="AF3177" i="23"/>
  <c r="AF3176" i="23"/>
  <c r="AF3175" i="23"/>
  <c r="AF3174" i="23"/>
  <c r="AF3173" i="23"/>
  <c r="AF3172" i="23"/>
  <c r="AF3171" i="23"/>
  <c r="AF3170" i="23"/>
  <c r="AF3169" i="23"/>
  <c r="AF3168" i="23"/>
  <c r="AF3167" i="23"/>
  <c r="AF3166" i="23"/>
  <c r="AF3165" i="23"/>
  <c r="AF3164" i="23"/>
  <c r="AF3163" i="23"/>
  <c r="AF3162" i="23"/>
  <c r="AF3161" i="23"/>
  <c r="AF3160" i="23"/>
  <c r="AF3159" i="23"/>
  <c r="AF3158" i="23"/>
  <c r="AF3157" i="23"/>
  <c r="AF3156" i="23"/>
  <c r="AF3155" i="23"/>
  <c r="AF3154" i="23"/>
  <c r="AF3153" i="23"/>
  <c r="AF3152" i="23"/>
  <c r="AF3151" i="23"/>
  <c r="AF3150" i="23"/>
  <c r="AF3149" i="23"/>
  <c r="AF3148" i="23"/>
  <c r="AF3147" i="23"/>
  <c r="AF3146" i="23"/>
  <c r="AF3145" i="23"/>
  <c r="AF3144" i="23"/>
  <c r="AF3143" i="23"/>
  <c r="AF3142" i="23"/>
  <c r="AF3141" i="23"/>
  <c r="AF3140" i="23"/>
  <c r="AF3139" i="23"/>
  <c r="AF3138" i="23"/>
  <c r="AF3137" i="23"/>
  <c r="AF3136" i="23"/>
  <c r="AF3135" i="23"/>
  <c r="AF3134" i="23"/>
  <c r="AF3133" i="23"/>
  <c r="AF3132" i="23"/>
  <c r="AF3131" i="23"/>
  <c r="AF3130" i="23"/>
  <c r="AF3129" i="23"/>
  <c r="AF3128" i="23"/>
  <c r="AF3127" i="23"/>
  <c r="AF3126" i="23"/>
  <c r="AF3125" i="23"/>
  <c r="AF3124" i="23"/>
  <c r="AF3123" i="23"/>
  <c r="AF3122" i="23"/>
  <c r="AF3121" i="23"/>
  <c r="AF3120" i="23"/>
  <c r="AF3119" i="23"/>
  <c r="AF3118" i="23"/>
  <c r="AF3117" i="23"/>
  <c r="AF3116" i="23"/>
  <c r="AF3115" i="23"/>
  <c r="AF3114" i="23"/>
  <c r="AF3113" i="23"/>
  <c r="AF3112" i="23"/>
  <c r="AF3111" i="23"/>
  <c r="AF3110" i="23"/>
  <c r="AF3109" i="23"/>
  <c r="AF3108" i="23"/>
  <c r="AF3107" i="23"/>
  <c r="AF3106" i="23"/>
  <c r="AF3105" i="23"/>
  <c r="AF3104" i="23"/>
  <c r="AF3103" i="23"/>
  <c r="AF3102" i="23"/>
  <c r="AF3101" i="23"/>
  <c r="AF3100" i="23"/>
  <c r="AF3099" i="23"/>
  <c r="AF3098" i="23"/>
  <c r="AF3097" i="23"/>
  <c r="AF3096" i="23"/>
  <c r="AF3095" i="23"/>
  <c r="AF3094" i="23"/>
  <c r="AF3093" i="23"/>
  <c r="AF3092" i="23"/>
  <c r="AF3091" i="23"/>
  <c r="AF3090" i="23"/>
  <c r="AF3089" i="23"/>
  <c r="AF3088" i="23"/>
  <c r="AF3087" i="23"/>
  <c r="AF3086" i="23"/>
  <c r="AF3085" i="23"/>
  <c r="AF3084" i="23"/>
  <c r="AF3083" i="23"/>
  <c r="AF3082" i="23"/>
  <c r="AF3081" i="23"/>
  <c r="AF3080" i="23"/>
  <c r="AF3079" i="23"/>
  <c r="AF3078" i="23"/>
  <c r="AF3077" i="23"/>
  <c r="AF3076" i="23"/>
  <c r="AF3075" i="23"/>
  <c r="AF3074" i="23"/>
  <c r="AF3073" i="23"/>
  <c r="AF3072" i="23"/>
  <c r="AF3071" i="23"/>
  <c r="AF3070" i="23"/>
  <c r="AF3069" i="23"/>
  <c r="AF3068" i="23"/>
  <c r="AF3067" i="23"/>
  <c r="AF3066" i="23"/>
  <c r="AF3065" i="23"/>
  <c r="AF3064" i="23"/>
  <c r="AF3063" i="23"/>
  <c r="AF3062" i="23"/>
  <c r="AF3061" i="23"/>
  <c r="AF3060" i="23"/>
  <c r="AF3059" i="23"/>
  <c r="AF3058" i="23"/>
  <c r="AF3057" i="23"/>
  <c r="AF3056" i="23"/>
  <c r="AF3055" i="23"/>
  <c r="AF3054" i="23"/>
  <c r="AF3053" i="23"/>
  <c r="AF3052" i="23"/>
  <c r="AF3051" i="23"/>
  <c r="AF3050" i="23"/>
  <c r="AF3049" i="23"/>
  <c r="AF3048" i="23"/>
  <c r="AF3047" i="23"/>
  <c r="AF3046" i="23"/>
  <c r="AF3045" i="23"/>
  <c r="AF3044" i="23"/>
  <c r="AF3043" i="23"/>
  <c r="AF3042" i="23"/>
  <c r="AF3041" i="23"/>
  <c r="AF3040" i="23"/>
  <c r="AF3039" i="23"/>
  <c r="AF3038" i="23"/>
  <c r="AF3037" i="23"/>
  <c r="AF3036" i="23"/>
  <c r="AF3035" i="23"/>
  <c r="AF3034" i="23"/>
  <c r="AF3033" i="23"/>
  <c r="AF3032" i="23"/>
  <c r="AF3031" i="23"/>
  <c r="AF3030" i="23"/>
  <c r="AF3029" i="23"/>
  <c r="AF3028" i="23"/>
  <c r="AF3027" i="23"/>
  <c r="AF3026" i="23"/>
  <c r="AF3025" i="23"/>
  <c r="AF3024" i="23"/>
  <c r="AF3023" i="23"/>
  <c r="AF3022" i="23"/>
  <c r="AF3021" i="23"/>
  <c r="AF3020" i="23"/>
  <c r="AF3019" i="23"/>
  <c r="AF3018" i="23"/>
  <c r="AF3017" i="23"/>
  <c r="AF3016" i="23"/>
  <c r="AF3015" i="23"/>
  <c r="AF3014" i="23"/>
  <c r="AF3013" i="23"/>
  <c r="AF3012" i="23"/>
  <c r="AF3011" i="23"/>
  <c r="AF3010" i="23"/>
  <c r="AF3009" i="23"/>
  <c r="AF3008" i="23"/>
  <c r="AF3007" i="23"/>
  <c r="AF3006" i="23"/>
  <c r="AF3005" i="23"/>
  <c r="AF3004" i="23"/>
  <c r="AF3003" i="23"/>
  <c r="AF3002" i="23"/>
  <c r="AF3001" i="23"/>
  <c r="AF3000" i="23"/>
  <c r="AF2999" i="23"/>
  <c r="AF2998" i="23"/>
  <c r="AF2997" i="23"/>
  <c r="AF2996" i="23"/>
  <c r="AF2995" i="23"/>
  <c r="AF2994" i="23"/>
  <c r="AF2993" i="23"/>
  <c r="AF2992" i="23"/>
  <c r="AF2991" i="23"/>
  <c r="AF2990" i="23"/>
  <c r="AF2989" i="23"/>
  <c r="AF2988" i="23"/>
  <c r="AF2987" i="23"/>
  <c r="AF2986" i="23"/>
  <c r="AF2985" i="23"/>
  <c r="AF2984" i="23"/>
  <c r="AF2983" i="23"/>
  <c r="AF2982" i="23"/>
  <c r="AF2981" i="23"/>
  <c r="AF2980" i="23"/>
  <c r="AF2979" i="23"/>
  <c r="AF2978" i="23"/>
  <c r="AF2977" i="23"/>
  <c r="AF2976" i="23"/>
  <c r="AF2975" i="23"/>
  <c r="AF2974" i="23"/>
  <c r="AF2973" i="23"/>
  <c r="AF2972" i="23"/>
  <c r="AF2971" i="23"/>
  <c r="AF2970" i="23"/>
  <c r="AF2969" i="23"/>
  <c r="AF2968" i="23"/>
  <c r="AF2967" i="23"/>
  <c r="AF2966" i="23"/>
  <c r="AF2965" i="23"/>
  <c r="AF2964" i="23"/>
  <c r="AF2963" i="23"/>
  <c r="AF2962" i="23"/>
  <c r="AF2961" i="23"/>
  <c r="AF2960" i="23"/>
  <c r="AF2959" i="23"/>
  <c r="AF2958" i="23"/>
  <c r="AF2957" i="23"/>
  <c r="AF2956" i="23"/>
  <c r="AF2955" i="23"/>
  <c r="AF2954" i="23"/>
  <c r="AF2953" i="23"/>
  <c r="AF2952" i="23"/>
  <c r="AF2951" i="23"/>
  <c r="AF2950" i="23"/>
  <c r="AF2949" i="23"/>
  <c r="AF2948" i="23"/>
  <c r="AF2947" i="23"/>
  <c r="AF2946" i="23"/>
  <c r="AF2945" i="23"/>
  <c r="AF2944" i="23"/>
  <c r="AF2943" i="23"/>
  <c r="AF2942" i="23"/>
  <c r="AF2941" i="23"/>
  <c r="AF2940" i="23"/>
  <c r="AF2939" i="23"/>
  <c r="AF2938" i="23"/>
  <c r="AF2937" i="23"/>
  <c r="AF2936" i="23"/>
  <c r="AF2935" i="23"/>
  <c r="AF2934" i="23"/>
  <c r="AF2933" i="23"/>
  <c r="AF2932" i="23"/>
  <c r="AF2931" i="23"/>
  <c r="AF2930" i="23"/>
  <c r="AF2929" i="23"/>
  <c r="AF2928" i="23"/>
  <c r="AF2927" i="23"/>
  <c r="AF2926" i="23"/>
  <c r="AF2925" i="23"/>
  <c r="AF2924" i="23"/>
  <c r="AF2923" i="23"/>
  <c r="AF2922" i="23"/>
  <c r="AF2921" i="23"/>
  <c r="AF2920" i="23"/>
  <c r="AF2919" i="23"/>
  <c r="AF2918" i="23"/>
  <c r="AF2917" i="23"/>
  <c r="AF2916" i="23"/>
  <c r="AF2915" i="23"/>
  <c r="AF2914" i="23"/>
  <c r="AF2913" i="23"/>
  <c r="AF2912" i="23"/>
  <c r="AF2911" i="23"/>
  <c r="AF2910" i="23"/>
  <c r="AF2909" i="23"/>
  <c r="AF2908" i="23"/>
  <c r="AF2907" i="23"/>
  <c r="AF2906" i="23"/>
  <c r="AF2905" i="23"/>
  <c r="AF2904" i="23"/>
  <c r="AF2903" i="23"/>
  <c r="AF2902" i="23"/>
  <c r="AF2901" i="23"/>
  <c r="AF2900" i="23"/>
  <c r="AF2899" i="23"/>
  <c r="AF2898" i="23"/>
  <c r="AF2897" i="23"/>
  <c r="AF2896" i="23"/>
  <c r="AF2895" i="23"/>
  <c r="AF2894" i="23"/>
  <c r="AF2893" i="23"/>
  <c r="AF2892" i="23"/>
  <c r="AF2891" i="23"/>
  <c r="AF2890" i="23"/>
  <c r="AF2889" i="23"/>
  <c r="AF2888" i="23"/>
  <c r="AF2887" i="23"/>
  <c r="AF2886" i="23"/>
  <c r="AF2885" i="23"/>
  <c r="AF2884" i="23"/>
  <c r="AF2883" i="23"/>
  <c r="AF2882" i="23"/>
  <c r="AF2881" i="23"/>
  <c r="AF2880" i="23"/>
  <c r="AF2879" i="23"/>
  <c r="AF2878" i="23"/>
  <c r="AF2877" i="23"/>
  <c r="AF2876" i="23"/>
  <c r="AF2875" i="23"/>
  <c r="AF2874" i="23"/>
  <c r="AF2873" i="23"/>
  <c r="AF2872" i="23"/>
  <c r="AF2871" i="23"/>
  <c r="AF2870" i="23"/>
  <c r="AF2869" i="23"/>
  <c r="AF2868" i="23"/>
  <c r="AF2867" i="23"/>
  <c r="AF2866" i="23"/>
  <c r="AF2865" i="23"/>
  <c r="AF2864" i="23"/>
  <c r="AF2863" i="23"/>
  <c r="AF2862" i="23"/>
  <c r="AF2861" i="23"/>
  <c r="AF2860" i="23"/>
  <c r="AF2859" i="23"/>
  <c r="AF2858" i="23"/>
  <c r="AF2857" i="23"/>
  <c r="AF2856" i="23"/>
  <c r="AF2855" i="23"/>
  <c r="AF2854" i="23"/>
  <c r="AF2853" i="23"/>
  <c r="AF2852" i="23"/>
  <c r="AF2851" i="23"/>
  <c r="AF2850" i="23"/>
  <c r="AF2849" i="23"/>
  <c r="AF2848" i="23"/>
  <c r="AF2847" i="23"/>
  <c r="AF2846" i="23"/>
  <c r="AF2845" i="23"/>
  <c r="AF2844" i="23"/>
  <c r="AF2843" i="23"/>
  <c r="AF2842" i="23"/>
  <c r="AF2841" i="23"/>
  <c r="AF2840" i="23"/>
  <c r="AF2839" i="23"/>
  <c r="AF2838" i="23"/>
  <c r="AF2837" i="23"/>
  <c r="AF2836" i="23"/>
  <c r="AF2835" i="23"/>
  <c r="AF2834" i="23"/>
  <c r="AF2833" i="23"/>
  <c r="AF2832" i="23"/>
  <c r="AF2831" i="23"/>
  <c r="AF2830" i="23"/>
  <c r="AF2829" i="23"/>
  <c r="AF2828" i="23"/>
  <c r="AF2827" i="23"/>
  <c r="AF2826" i="23"/>
  <c r="AF2825" i="23"/>
  <c r="AF2824" i="23"/>
  <c r="AF2823" i="23"/>
  <c r="AF2822" i="23"/>
  <c r="AF2821" i="23"/>
  <c r="AF2820" i="23"/>
  <c r="AF2819" i="23"/>
  <c r="AF2818" i="23"/>
  <c r="AF2817" i="23"/>
  <c r="AF2816" i="23"/>
  <c r="AF2815" i="23"/>
  <c r="AF2814" i="23"/>
  <c r="AF2813" i="23"/>
  <c r="AF2812" i="23"/>
  <c r="AF2811" i="23"/>
  <c r="AF2810" i="23"/>
  <c r="AF2809" i="23"/>
  <c r="AF2808" i="23"/>
  <c r="AF2807" i="23"/>
  <c r="AF2806" i="23"/>
  <c r="AF2805" i="23"/>
  <c r="AF2804" i="23"/>
  <c r="AF2803" i="23"/>
  <c r="AF2802" i="23"/>
  <c r="AF2801" i="23"/>
  <c r="AF2800" i="23"/>
  <c r="AF2799" i="23"/>
  <c r="AF2798" i="23"/>
  <c r="AF2797" i="23"/>
  <c r="AF2796" i="23"/>
  <c r="AF2795" i="23"/>
  <c r="AF2794" i="23"/>
  <c r="AF2793" i="23"/>
  <c r="AF2792" i="23"/>
  <c r="AF2791" i="23"/>
  <c r="AF2790" i="23"/>
  <c r="AF2789" i="23"/>
  <c r="AF2788" i="23"/>
  <c r="AF2787" i="23"/>
  <c r="AF2786" i="23"/>
  <c r="AF2785" i="23"/>
  <c r="AF2784" i="23"/>
  <c r="AF2783" i="23"/>
  <c r="AF2782" i="23"/>
  <c r="AF2781" i="23"/>
  <c r="AF2780" i="23"/>
  <c r="AF2779" i="23"/>
  <c r="AF2778" i="23"/>
  <c r="AF2777" i="23"/>
  <c r="AF2776" i="23"/>
  <c r="AF2775" i="23"/>
  <c r="AF2774" i="23"/>
  <c r="AF2773" i="23"/>
  <c r="AF2772" i="23"/>
  <c r="AF2771" i="23"/>
  <c r="AF2770" i="23"/>
  <c r="AF2769" i="23"/>
  <c r="AF2768" i="23"/>
  <c r="AF2767" i="23"/>
  <c r="AF2766" i="23"/>
  <c r="AF2765" i="23"/>
  <c r="AF2764" i="23"/>
  <c r="AF2763" i="23"/>
  <c r="AF2762" i="23"/>
  <c r="AF2761" i="23"/>
  <c r="AF2760" i="23"/>
  <c r="AF2759" i="23"/>
  <c r="AF2758" i="23"/>
  <c r="AF2757" i="23"/>
  <c r="AF2756" i="23"/>
  <c r="AF2755" i="23"/>
  <c r="AF2754" i="23"/>
  <c r="AF2753" i="23"/>
  <c r="AF2752" i="23"/>
  <c r="AF2751" i="23"/>
  <c r="AF2750" i="23"/>
  <c r="AF2749" i="23"/>
  <c r="AF2748" i="23"/>
  <c r="AF2747" i="23"/>
  <c r="AF2746" i="23"/>
  <c r="AF2745" i="23"/>
  <c r="AF2744" i="23"/>
  <c r="AF2743" i="23"/>
  <c r="AF2742" i="23"/>
  <c r="AF2741" i="23"/>
  <c r="AF2740" i="23"/>
  <c r="AF2739" i="23"/>
  <c r="AF2738" i="23"/>
  <c r="AF2737" i="23"/>
  <c r="AF2736" i="23"/>
  <c r="AF2735" i="23"/>
  <c r="AF2734" i="23"/>
  <c r="AF2733" i="23"/>
  <c r="AF2732" i="23"/>
  <c r="AF2731" i="23"/>
  <c r="AF2730" i="23"/>
  <c r="AF2729" i="23"/>
  <c r="AF2728" i="23"/>
  <c r="AF2727" i="23"/>
  <c r="AF2726" i="23"/>
  <c r="AF2725" i="23"/>
  <c r="AF2724" i="23"/>
  <c r="AF2723" i="23"/>
  <c r="AF2722" i="23"/>
  <c r="AF2721" i="23"/>
  <c r="AF2720" i="23"/>
  <c r="AF2719" i="23"/>
  <c r="AF2718" i="23"/>
  <c r="AF2717" i="23"/>
  <c r="AF2716" i="23"/>
  <c r="AF2715" i="23"/>
  <c r="AF2714" i="23"/>
  <c r="AF2713" i="23"/>
  <c r="AF2712" i="23"/>
  <c r="AF2711" i="23"/>
  <c r="AF2710" i="23"/>
  <c r="AF2709" i="23"/>
  <c r="AF2708" i="23"/>
  <c r="AF2707" i="23"/>
  <c r="AF2706" i="23"/>
  <c r="AF2705" i="23"/>
  <c r="AF2704" i="23"/>
  <c r="AF2703" i="23"/>
  <c r="AF2702" i="23"/>
  <c r="AF2701" i="23"/>
  <c r="AF2700" i="23"/>
  <c r="AF2699" i="23"/>
  <c r="AF2698" i="23"/>
  <c r="AF2697" i="23"/>
  <c r="AF2696" i="23"/>
  <c r="AF2695" i="23"/>
  <c r="AF2694" i="23"/>
  <c r="AF2693" i="23"/>
  <c r="AF2692" i="23"/>
  <c r="AF2691" i="23"/>
  <c r="AF2690" i="23"/>
  <c r="AF2689" i="23"/>
  <c r="AF2688" i="23"/>
  <c r="AF2687" i="23"/>
  <c r="AF2686" i="23"/>
  <c r="AF2685" i="23"/>
  <c r="AF2684" i="23"/>
  <c r="AF2683" i="23"/>
  <c r="AF2682" i="23"/>
  <c r="AF2681" i="23"/>
  <c r="AF2680" i="23"/>
  <c r="AF2679" i="23"/>
  <c r="AF2678" i="23"/>
  <c r="AF2677" i="23"/>
  <c r="AF2676" i="23"/>
  <c r="AF2675" i="23"/>
  <c r="AF2674" i="23"/>
  <c r="AF2673" i="23"/>
  <c r="AF2672" i="23"/>
  <c r="AF2671" i="23"/>
  <c r="AF2670" i="23"/>
  <c r="AF2669" i="23"/>
  <c r="AF2668" i="23"/>
  <c r="AF2667" i="23"/>
  <c r="AF2666" i="23"/>
  <c r="AF2665" i="23"/>
  <c r="AF2664" i="23"/>
  <c r="AF2663" i="23"/>
  <c r="AF2662" i="23"/>
  <c r="AF2661" i="23"/>
  <c r="AF2660" i="23"/>
  <c r="AF2659" i="23"/>
  <c r="AF2658" i="23"/>
  <c r="AF2657" i="23"/>
  <c r="AF2656" i="23"/>
  <c r="AF2655" i="23"/>
  <c r="AF2654" i="23"/>
  <c r="AF2653" i="23"/>
  <c r="AF2652" i="23"/>
  <c r="AF2651" i="23"/>
  <c r="AF2650" i="23"/>
  <c r="AF2649" i="23"/>
  <c r="AF2648" i="23"/>
  <c r="AF2647" i="23"/>
  <c r="AF2646" i="23"/>
  <c r="AF2645" i="23"/>
  <c r="AF2644" i="23"/>
  <c r="AF2643" i="23"/>
  <c r="AF2642" i="23"/>
  <c r="AF2641" i="23"/>
  <c r="AF2640" i="23"/>
  <c r="AF2639" i="23"/>
  <c r="AF2638" i="23"/>
  <c r="AF2637" i="23"/>
  <c r="AF2636" i="23"/>
  <c r="AF2635" i="23"/>
  <c r="AF2634" i="23"/>
  <c r="AF2633" i="23"/>
  <c r="AF2632" i="23"/>
  <c r="AF2631" i="23"/>
  <c r="AF2630" i="23"/>
  <c r="AF2629" i="23"/>
  <c r="AF2628" i="23"/>
  <c r="AF2627" i="23"/>
  <c r="AF2626" i="23"/>
  <c r="AF2625" i="23"/>
  <c r="AF2624" i="23"/>
  <c r="AF2623" i="23"/>
  <c r="AF2622" i="23"/>
  <c r="AF2621" i="23"/>
  <c r="AF2620" i="23"/>
  <c r="AF2619" i="23"/>
  <c r="AF2618" i="23"/>
  <c r="AF2617" i="23"/>
  <c r="AF2616" i="23"/>
  <c r="AF2615" i="23"/>
  <c r="AF2614" i="23"/>
  <c r="AF2613" i="23"/>
  <c r="AF2612" i="23"/>
  <c r="AF2611" i="23"/>
  <c r="AF2610" i="23"/>
  <c r="AF2609" i="23"/>
  <c r="AF2608" i="23"/>
  <c r="AF2607" i="23"/>
  <c r="AF2606" i="23"/>
  <c r="AF2605" i="23"/>
  <c r="AF2604" i="23"/>
  <c r="AF2603" i="23"/>
  <c r="AF2602" i="23"/>
  <c r="AF2601" i="23"/>
  <c r="AF2600" i="23"/>
  <c r="AF2599" i="23"/>
  <c r="AF2598" i="23"/>
  <c r="AF2597" i="23"/>
  <c r="AF2596" i="23"/>
  <c r="AF2595" i="23"/>
  <c r="AF2594" i="23"/>
  <c r="AF2593" i="23"/>
  <c r="AF2592" i="23"/>
  <c r="AF2591" i="23"/>
  <c r="AF2590" i="23"/>
  <c r="AF2589" i="23"/>
  <c r="AF2588" i="23"/>
  <c r="AF2587" i="23"/>
  <c r="AF2586" i="23"/>
  <c r="AF2585" i="23"/>
  <c r="AF2584" i="23"/>
  <c r="AF2583" i="23"/>
  <c r="AF2582" i="23"/>
  <c r="AF2581" i="23"/>
  <c r="AF2580" i="23"/>
  <c r="AF2579" i="23"/>
  <c r="AF2578" i="23"/>
  <c r="AF2577" i="23"/>
  <c r="AF2576" i="23"/>
  <c r="AF2575" i="23"/>
  <c r="AF2574" i="23"/>
  <c r="AF2573" i="23"/>
  <c r="AF2572" i="23"/>
  <c r="AF2571" i="23"/>
  <c r="AF2570" i="23"/>
  <c r="AF2569" i="23"/>
  <c r="AF2568" i="23"/>
  <c r="AF2567" i="23"/>
  <c r="AF2566" i="23"/>
  <c r="AF2565" i="23"/>
  <c r="AF2564" i="23"/>
  <c r="AF2563" i="23"/>
  <c r="AF2562" i="23"/>
  <c r="AF2561" i="23"/>
  <c r="AF2560" i="23"/>
  <c r="AF2559" i="23"/>
  <c r="AF2558" i="23"/>
  <c r="AF2557" i="23"/>
  <c r="AF2556" i="23"/>
  <c r="AF2555" i="23"/>
  <c r="AF2554" i="23"/>
  <c r="AF2553" i="23"/>
  <c r="AF2552" i="23"/>
  <c r="AF2551" i="23"/>
  <c r="AF2550" i="23"/>
  <c r="AF2549" i="23"/>
  <c r="AF2548" i="23"/>
  <c r="AF2547" i="23"/>
  <c r="AF2546" i="23"/>
  <c r="AF2545" i="23"/>
  <c r="AF2544" i="23"/>
  <c r="AF2543" i="23"/>
  <c r="AF2542" i="23"/>
  <c r="AF2541" i="23"/>
  <c r="AF2540" i="23"/>
  <c r="AF2539" i="23"/>
  <c r="AF2538" i="23"/>
  <c r="AF2537" i="23"/>
  <c r="AF2536" i="23"/>
  <c r="AF2535" i="23"/>
  <c r="AF2534" i="23"/>
  <c r="AF2533" i="23"/>
  <c r="AF2532" i="23"/>
  <c r="AF2531" i="23"/>
  <c r="AF2530" i="23"/>
  <c r="AF2529" i="23"/>
  <c r="AF2528" i="23"/>
  <c r="AF2527" i="23"/>
  <c r="AF2526" i="23"/>
  <c r="AF2525" i="23"/>
  <c r="AF2524" i="23"/>
  <c r="AF2523" i="23"/>
  <c r="AF2522" i="23"/>
  <c r="AF2521" i="23"/>
  <c r="AF2520" i="23"/>
  <c r="AF2519" i="23"/>
  <c r="AF2518" i="23"/>
  <c r="AF2517" i="23"/>
  <c r="AF2516" i="23"/>
  <c r="AF2515" i="23"/>
  <c r="AF2514" i="23"/>
  <c r="AF2513" i="23"/>
  <c r="AF2512" i="23"/>
  <c r="AF2511" i="23"/>
  <c r="AF2510" i="23"/>
  <c r="AF2509" i="23"/>
  <c r="AF2508" i="23"/>
  <c r="AF2507" i="23"/>
  <c r="AF2506" i="23"/>
  <c r="AF2505" i="23"/>
  <c r="AF2504" i="23"/>
  <c r="AF2503" i="23"/>
  <c r="AF2502" i="23"/>
  <c r="AF2501" i="23"/>
  <c r="AF2500" i="23"/>
  <c r="AF2499" i="23"/>
  <c r="AF2498" i="23"/>
  <c r="AF2497" i="23"/>
  <c r="AF2496" i="23"/>
  <c r="AF2495" i="23"/>
  <c r="AF2494" i="23"/>
  <c r="AF2493" i="23"/>
  <c r="AF2492" i="23"/>
  <c r="AF2491" i="23"/>
  <c r="AF2490" i="23"/>
  <c r="AF2489" i="23"/>
  <c r="AF2488" i="23"/>
  <c r="AF2487" i="23"/>
  <c r="AF2486" i="23"/>
  <c r="AF2485" i="23"/>
  <c r="AF2484" i="23"/>
  <c r="AF2483" i="23"/>
  <c r="AF2482" i="23"/>
  <c r="AF2481" i="23"/>
  <c r="AF2480" i="23"/>
  <c r="AF2479" i="23"/>
  <c r="AF2478" i="23"/>
  <c r="AF2477" i="23"/>
  <c r="AF2476" i="23"/>
  <c r="AF2475" i="23"/>
  <c r="AF2474" i="23"/>
  <c r="AF2473" i="23"/>
  <c r="AF2472" i="23"/>
  <c r="AF2471" i="23"/>
  <c r="AF2470" i="23"/>
  <c r="AF2469" i="23"/>
  <c r="AF2468" i="23"/>
  <c r="AF2467" i="23"/>
  <c r="AF2466" i="23"/>
  <c r="AF2465" i="23"/>
  <c r="AF2464" i="23"/>
  <c r="AF2463" i="23"/>
  <c r="AF2462" i="23"/>
  <c r="AF2461" i="23"/>
  <c r="AF2460" i="23"/>
  <c r="AF2459" i="23"/>
  <c r="AF2458" i="23"/>
  <c r="AF2457" i="23"/>
  <c r="AF2456" i="23"/>
  <c r="AF2455" i="23"/>
  <c r="AF2454" i="23"/>
  <c r="AF2453" i="23"/>
  <c r="AF2452" i="23"/>
  <c r="AF2451" i="23"/>
  <c r="AF2450" i="23"/>
  <c r="AF2449" i="23"/>
  <c r="AF2448" i="23"/>
  <c r="AF2447" i="23"/>
  <c r="AF2446" i="23"/>
  <c r="AF2445" i="23"/>
  <c r="AF2444" i="23"/>
  <c r="AF2443" i="23"/>
  <c r="AF2442" i="23"/>
  <c r="AF2441" i="23"/>
  <c r="AF2440" i="23"/>
  <c r="AF2439" i="23"/>
  <c r="AF2438" i="23"/>
  <c r="AF2437" i="23"/>
  <c r="AF2436" i="23"/>
  <c r="AF2435" i="23"/>
  <c r="AF2434" i="23"/>
  <c r="AF2433" i="23"/>
  <c r="AF2432" i="23"/>
  <c r="AF2431" i="23"/>
  <c r="AF2430" i="23"/>
  <c r="AF2429" i="23"/>
  <c r="AF2428" i="23"/>
  <c r="AF2427" i="23"/>
  <c r="AF2426" i="23"/>
  <c r="AF2425" i="23"/>
  <c r="AF2424" i="23"/>
  <c r="AF2423" i="23"/>
  <c r="AF2422" i="23"/>
  <c r="AF2421" i="23"/>
  <c r="AF2420" i="23"/>
  <c r="AF2419" i="23"/>
  <c r="AF2418" i="23"/>
  <c r="AF2417" i="23"/>
  <c r="AF2416" i="23"/>
  <c r="AF2415" i="23"/>
  <c r="AF2414" i="23"/>
  <c r="AF2413" i="23"/>
  <c r="AF2412" i="23"/>
  <c r="AF2411" i="23"/>
  <c r="AF2410" i="23"/>
  <c r="AF2409" i="23"/>
  <c r="AF2408" i="23"/>
  <c r="AF2407" i="23"/>
  <c r="AF2406" i="23"/>
  <c r="AF2405" i="23"/>
  <c r="AF2404" i="23"/>
  <c r="AF2403" i="23"/>
  <c r="AF2402" i="23"/>
  <c r="AF2401" i="23"/>
  <c r="AF2400" i="23"/>
  <c r="AF2399" i="23"/>
  <c r="AF2398" i="23"/>
  <c r="AF2397" i="23"/>
  <c r="AF2396" i="23"/>
  <c r="AF2395" i="23"/>
  <c r="AF2394" i="23"/>
  <c r="AF2393" i="23"/>
  <c r="AF2392" i="23"/>
  <c r="AF2391" i="23"/>
  <c r="AF2390" i="23"/>
  <c r="AF2389" i="23"/>
  <c r="AF2388" i="23"/>
  <c r="AF2387" i="23"/>
  <c r="AF2386" i="23"/>
  <c r="AF2385" i="23"/>
  <c r="AF2384" i="23"/>
  <c r="AF2383" i="23"/>
  <c r="AF2382" i="23"/>
  <c r="AF2381" i="23"/>
  <c r="AF2380" i="23"/>
  <c r="AF2379" i="23"/>
  <c r="AF2378" i="23"/>
  <c r="AF2377" i="23"/>
  <c r="AF2376" i="23"/>
  <c r="AF2375" i="23"/>
  <c r="AF2374" i="23"/>
  <c r="AF2373" i="23"/>
  <c r="AF2372" i="23"/>
  <c r="AF2371" i="23"/>
  <c r="AF2370" i="23"/>
  <c r="AF2369" i="23"/>
  <c r="AF2368" i="23"/>
  <c r="AF2367" i="23"/>
  <c r="AF2366" i="23"/>
  <c r="AF2365" i="23"/>
  <c r="AF2364" i="23"/>
  <c r="AF2363" i="23"/>
  <c r="AF2362" i="23"/>
  <c r="AF2361" i="23"/>
  <c r="AF2360" i="23"/>
  <c r="AF2359" i="23"/>
  <c r="AF2358" i="23"/>
  <c r="AF2357" i="23"/>
  <c r="AF2356" i="23"/>
  <c r="AF2355" i="23"/>
  <c r="AF2354" i="23"/>
  <c r="AF2353" i="23"/>
  <c r="AF2352" i="23"/>
  <c r="AF2351" i="23"/>
  <c r="AF2350" i="23"/>
  <c r="AF2349" i="23"/>
  <c r="AF2348" i="23"/>
  <c r="AF2347" i="23"/>
  <c r="AF2346" i="23"/>
  <c r="AF2345" i="23"/>
  <c r="AF2344" i="23"/>
  <c r="AF2343" i="23"/>
  <c r="AF2342" i="23"/>
  <c r="AF2341" i="23"/>
  <c r="AF2340" i="23"/>
  <c r="AF2339" i="23"/>
  <c r="AF2338" i="23"/>
  <c r="AF2337" i="23"/>
  <c r="AF2336" i="23"/>
  <c r="AF2335" i="23"/>
  <c r="AF2334" i="23"/>
  <c r="AF2333" i="23"/>
  <c r="AF2332" i="23"/>
  <c r="AF2331" i="23"/>
  <c r="AF2330" i="23"/>
  <c r="AF2329" i="23"/>
  <c r="AF2328" i="23"/>
  <c r="AF2327" i="23"/>
  <c r="AF2326" i="23"/>
  <c r="AF2325" i="23"/>
  <c r="AF2324" i="23"/>
  <c r="AF2323" i="23"/>
  <c r="AF2322" i="23"/>
  <c r="AF2321" i="23"/>
  <c r="AF2320" i="23"/>
  <c r="AF2319" i="23"/>
  <c r="AF2318" i="23"/>
  <c r="AF2317" i="23"/>
  <c r="AF2316" i="23"/>
  <c r="AF2315" i="23"/>
  <c r="AF2314" i="23"/>
  <c r="AF2313" i="23"/>
  <c r="AF2312" i="23"/>
  <c r="AF2311" i="23"/>
  <c r="AF2310" i="23"/>
  <c r="AF2309" i="23"/>
  <c r="AF2308" i="23"/>
  <c r="AF2307" i="23"/>
  <c r="AF2306" i="23"/>
  <c r="AF2305" i="23"/>
  <c r="AF2304" i="23"/>
  <c r="AF2303" i="23"/>
  <c r="AF2302" i="23"/>
  <c r="AF2301" i="23"/>
  <c r="AF2300" i="23"/>
  <c r="AF2299" i="23"/>
  <c r="AF2298" i="23"/>
  <c r="AF2297" i="23"/>
  <c r="AF2296" i="23"/>
  <c r="AF2295" i="23"/>
  <c r="AF2294" i="23"/>
  <c r="AF2293" i="23"/>
  <c r="AF2292" i="23"/>
  <c r="AF2291" i="23"/>
  <c r="AF2290" i="23"/>
  <c r="AF2289" i="23"/>
  <c r="AF2288" i="23"/>
  <c r="AF2287" i="23"/>
  <c r="AF2286" i="23"/>
  <c r="AF2285" i="23"/>
  <c r="AF2284" i="23"/>
  <c r="AF2283" i="23"/>
  <c r="AF2282" i="23"/>
  <c r="AF2281" i="23"/>
  <c r="AF2280" i="23"/>
  <c r="AF2279" i="23"/>
  <c r="AF2278" i="23"/>
  <c r="AF2277" i="23"/>
  <c r="AF2276" i="23"/>
  <c r="AF2275" i="23"/>
  <c r="AF2274" i="23"/>
  <c r="AF2273" i="23"/>
  <c r="AF2272" i="23"/>
  <c r="AF2271" i="23"/>
  <c r="AF2270" i="23"/>
  <c r="AF2269" i="23"/>
  <c r="AF2268" i="23"/>
  <c r="AF2267" i="23"/>
  <c r="AF2266" i="23"/>
  <c r="AF2265" i="23"/>
  <c r="AF2264" i="23"/>
  <c r="AF2263" i="23"/>
  <c r="AF2262" i="23"/>
  <c r="AF2261" i="23"/>
  <c r="AF2260" i="23"/>
  <c r="AF2259" i="23"/>
  <c r="AF2258" i="23"/>
  <c r="AF2257" i="23"/>
  <c r="AF2256" i="23"/>
  <c r="AF2255" i="23"/>
  <c r="AF2254" i="23"/>
  <c r="AF2253" i="23"/>
  <c r="AF2252" i="23"/>
  <c r="AF2251" i="23"/>
  <c r="AF2250" i="23"/>
  <c r="AF2249" i="23"/>
  <c r="AF2248" i="23"/>
  <c r="AF2247" i="23"/>
  <c r="AF2246" i="23"/>
  <c r="AF2245" i="23"/>
  <c r="AF2244" i="23"/>
  <c r="AF2243" i="23"/>
  <c r="AF2242" i="23"/>
  <c r="AF2241" i="23"/>
  <c r="AF2240" i="23"/>
  <c r="AF2239" i="23"/>
  <c r="AF2238" i="23"/>
  <c r="AF2237" i="23"/>
  <c r="AF2236" i="23"/>
  <c r="AF2235" i="23"/>
  <c r="AF2234" i="23"/>
  <c r="AF2233" i="23"/>
  <c r="AF2232" i="23"/>
  <c r="AF2231" i="23"/>
  <c r="AF2230" i="23"/>
  <c r="AF2229" i="23"/>
  <c r="AF2228" i="23"/>
  <c r="AF2227" i="23"/>
  <c r="AF2226" i="23"/>
  <c r="AF2225" i="23"/>
  <c r="AF2224" i="23"/>
  <c r="AF2223" i="23"/>
  <c r="AF2222" i="23"/>
  <c r="AF2221" i="23"/>
  <c r="AF2220" i="23"/>
  <c r="AF2219" i="23"/>
  <c r="AF2218" i="23"/>
  <c r="AF2217" i="23"/>
  <c r="AF2216" i="23"/>
  <c r="AF2215" i="23"/>
  <c r="AF2214" i="23"/>
  <c r="AF2213" i="23"/>
  <c r="AF2212" i="23"/>
  <c r="AF2211" i="23"/>
  <c r="AF2210" i="23"/>
  <c r="AF2209" i="23"/>
  <c r="AF2208" i="23"/>
  <c r="AF2207" i="23"/>
  <c r="AF2206" i="23"/>
  <c r="AF2205" i="23"/>
  <c r="AF2204" i="23"/>
  <c r="AF2203" i="23"/>
  <c r="AF2202" i="23"/>
  <c r="AF2201" i="23"/>
  <c r="AF2200" i="23"/>
  <c r="AF2199" i="23"/>
  <c r="AF2198" i="23"/>
  <c r="AF2197" i="23"/>
  <c r="AF2196" i="23"/>
  <c r="AF2195" i="23"/>
  <c r="AF2194" i="23"/>
  <c r="AF2193" i="23"/>
  <c r="AF2192" i="23"/>
  <c r="AF2191" i="23"/>
  <c r="AF2190" i="23"/>
  <c r="AF2189" i="23"/>
  <c r="AF2188" i="23"/>
  <c r="AF2187" i="23"/>
  <c r="AF2186" i="23"/>
  <c r="AF2185" i="23"/>
  <c r="AF2184" i="23"/>
  <c r="AF2183" i="23"/>
  <c r="AF2182" i="23"/>
  <c r="AF2181" i="23"/>
  <c r="AF2180" i="23"/>
  <c r="AF2179" i="23"/>
  <c r="AF2178" i="23"/>
  <c r="AF2177" i="23"/>
  <c r="AF2176" i="23"/>
  <c r="AF2175" i="23"/>
  <c r="AF2174" i="23"/>
  <c r="AF2173" i="23"/>
  <c r="AF2172" i="23"/>
  <c r="AF2171" i="23"/>
  <c r="AF2170" i="23"/>
  <c r="AF2169" i="23"/>
  <c r="AF2168" i="23"/>
  <c r="AF2167" i="23"/>
  <c r="AF2166" i="23"/>
  <c r="AF2165" i="23"/>
  <c r="AF2164" i="23"/>
  <c r="AF2163" i="23"/>
  <c r="AF2162" i="23"/>
  <c r="AF2161" i="23"/>
  <c r="AF2160" i="23"/>
  <c r="AF2159" i="23"/>
  <c r="AF2158" i="23"/>
  <c r="AF2157" i="23"/>
  <c r="AF2156" i="23"/>
  <c r="AF2155" i="23"/>
  <c r="AF2154" i="23"/>
  <c r="AF2153" i="23"/>
  <c r="AF2152" i="23"/>
  <c r="AF2151" i="23"/>
  <c r="AF2150" i="23"/>
  <c r="AF2149" i="23"/>
  <c r="AF2148" i="23"/>
  <c r="AF2147" i="23"/>
  <c r="AF2146" i="23"/>
  <c r="AF2145" i="23"/>
  <c r="AF2144" i="23"/>
  <c r="AF2143" i="23"/>
  <c r="AF2142" i="23"/>
  <c r="AF2141" i="23"/>
  <c r="AF2140" i="23"/>
  <c r="AF2139" i="23"/>
  <c r="AF2138" i="23"/>
  <c r="AF2137" i="23"/>
  <c r="AF2136" i="23"/>
  <c r="AF2135" i="23"/>
  <c r="AF2134" i="23"/>
  <c r="AF2133" i="23"/>
  <c r="AF2132" i="23"/>
  <c r="AF2131" i="23"/>
  <c r="AF2130" i="23"/>
  <c r="AF2129" i="23"/>
  <c r="AF2128" i="23"/>
  <c r="AF2127" i="23"/>
  <c r="AF2126" i="23"/>
  <c r="AF2125" i="23"/>
  <c r="AF2124" i="23"/>
  <c r="AF2123" i="23"/>
  <c r="AF2122" i="23"/>
  <c r="AF2121" i="23"/>
  <c r="AF2120" i="23"/>
  <c r="AF2119" i="23"/>
  <c r="AF2118" i="23"/>
  <c r="AF2117" i="23"/>
  <c r="AF2116" i="23"/>
  <c r="AF2115" i="23"/>
  <c r="AF2114" i="23"/>
  <c r="AF2113" i="23"/>
  <c r="AF2112" i="23"/>
  <c r="AF2111" i="23"/>
  <c r="AF2110" i="23"/>
  <c r="AF2109" i="23"/>
  <c r="AF2108" i="23"/>
  <c r="AF2107" i="23"/>
  <c r="AF2106" i="23"/>
  <c r="AF2105" i="23"/>
  <c r="AF2104" i="23"/>
  <c r="AF2103" i="23"/>
  <c r="AF2102" i="23"/>
  <c r="AF2101" i="23"/>
  <c r="AF2100" i="23"/>
  <c r="AF2099" i="23"/>
  <c r="AF2098" i="23"/>
  <c r="AF2097" i="23"/>
  <c r="AF2096" i="23"/>
  <c r="AF2095" i="23"/>
  <c r="AF2094" i="23"/>
  <c r="AF2093" i="23"/>
  <c r="AF2092" i="23"/>
  <c r="AF2091" i="23"/>
  <c r="AF2090" i="23"/>
  <c r="AF2089" i="23"/>
  <c r="AF2088" i="23"/>
  <c r="AF2087" i="23"/>
  <c r="AF2086" i="23"/>
  <c r="AF2085" i="23"/>
  <c r="AF2084" i="23"/>
  <c r="AF2083" i="23"/>
  <c r="AF2082" i="23"/>
  <c r="AF2081" i="23"/>
  <c r="AF2080" i="23"/>
  <c r="AF2079" i="23"/>
  <c r="AF2078" i="23"/>
  <c r="AF2077" i="23"/>
  <c r="AF2076" i="23"/>
  <c r="AF2075" i="23"/>
  <c r="AF2074" i="23"/>
  <c r="AF2073" i="23"/>
  <c r="AF2072" i="23"/>
  <c r="AF2071" i="23"/>
  <c r="AF2070" i="23"/>
  <c r="AF2069" i="23"/>
  <c r="AF2068" i="23"/>
  <c r="AF2067" i="23"/>
  <c r="AF2066" i="23"/>
  <c r="AF2065" i="23"/>
  <c r="AF2064" i="23"/>
  <c r="AF2063" i="23"/>
  <c r="AF2062" i="23"/>
  <c r="AF2061" i="23"/>
  <c r="AF2060" i="23"/>
  <c r="AF2059" i="23"/>
  <c r="AF2058" i="23"/>
  <c r="AF2057" i="23"/>
  <c r="AF2056" i="23"/>
  <c r="AF2055" i="23"/>
  <c r="AF2054" i="23"/>
  <c r="AF2053" i="23"/>
  <c r="AF2052" i="23"/>
  <c r="AF2051" i="23"/>
  <c r="AF2050" i="23"/>
  <c r="AF2049" i="23"/>
  <c r="AF2048" i="23"/>
  <c r="AF2047" i="23"/>
  <c r="AF2046" i="23"/>
  <c r="AF2045" i="23"/>
  <c r="AF2044" i="23"/>
  <c r="AF2043" i="23"/>
  <c r="AF2042" i="23"/>
  <c r="AF2041" i="23"/>
  <c r="AF2040" i="23"/>
  <c r="AF2039" i="23"/>
  <c r="AF2038" i="23"/>
  <c r="AF2037" i="23"/>
  <c r="AF2036" i="23"/>
  <c r="AF2035" i="23"/>
  <c r="AF2034" i="23"/>
  <c r="AF2033" i="23"/>
  <c r="AF2032" i="23"/>
  <c r="AF2031" i="23"/>
  <c r="AF2030" i="23"/>
  <c r="AF2029" i="23"/>
  <c r="AF2028" i="23"/>
  <c r="AF2027" i="23"/>
  <c r="AF2026" i="23"/>
  <c r="AF2025" i="23"/>
  <c r="AF2024" i="23"/>
  <c r="AF2023" i="23"/>
  <c r="AF2022" i="23"/>
  <c r="AF2021" i="23"/>
  <c r="AF2020" i="23"/>
  <c r="AF2019" i="23"/>
  <c r="AF2018" i="23"/>
  <c r="AF2017" i="23"/>
  <c r="AF2016" i="23"/>
  <c r="AF2015" i="23"/>
  <c r="AF2014" i="23"/>
  <c r="AF2013" i="23"/>
  <c r="AF2012" i="23"/>
  <c r="AF2011" i="23"/>
  <c r="AF2010" i="23"/>
  <c r="AF2009" i="23"/>
  <c r="AF2008" i="23"/>
  <c r="AF2007" i="23"/>
  <c r="AF2006" i="23"/>
  <c r="AF2005" i="23"/>
  <c r="AF2004" i="23"/>
  <c r="AF2003" i="23"/>
  <c r="AF2002" i="23"/>
  <c r="AF2001" i="23"/>
  <c r="AF2000" i="23"/>
  <c r="AF1999" i="23"/>
  <c r="AF1998" i="23"/>
  <c r="AF1997" i="23"/>
  <c r="AF1996" i="23"/>
  <c r="AF1995" i="23"/>
  <c r="AF1994" i="23"/>
  <c r="AF1993" i="23"/>
  <c r="AF1992" i="23"/>
  <c r="AF1991" i="23"/>
  <c r="AF1990" i="23"/>
  <c r="AF1989" i="23"/>
  <c r="AF1988" i="23"/>
  <c r="AF1987" i="23"/>
  <c r="AF1986" i="23"/>
  <c r="AF1985" i="23"/>
  <c r="AF1984" i="23"/>
  <c r="AF1983" i="23"/>
  <c r="AF1982" i="23"/>
  <c r="AF1981" i="23"/>
  <c r="AF1980" i="23"/>
  <c r="AF1979" i="23"/>
  <c r="AF1978" i="23"/>
  <c r="AF1977" i="23"/>
  <c r="AF1976" i="23"/>
  <c r="AF1975" i="23"/>
  <c r="AF1974" i="23"/>
  <c r="AF1973" i="23"/>
  <c r="AF1972" i="23"/>
  <c r="AF1971" i="23"/>
  <c r="AF1970" i="23"/>
  <c r="AF1969" i="23"/>
  <c r="AF1968" i="23"/>
  <c r="AF1967" i="23"/>
  <c r="AF1966" i="23"/>
  <c r="AF1965" i="23"/>
  <c r="AF1964" i="23"/>
  <c r="AF1963" i="23"/>
  <c r="AF1962" i="23"/>
  <c r="AF1961" i="23"/>
  <c r="AF1960" i="23"/>
  <c r="AF1959" i="23"/>
  <c r="AF1958" i="23"/>
  <c r="AF1957" i="23"/>
  <c r="AF1956" i="23"/>
  <c r="AF1955" i="23"/>
  <c r="AF1954" i="23"/>
  <c r="AF1953" i="23"/>
  <c r="AF1952" i="23"/>
  <c r="AF1951" i="23"/>
  <c r="AF1950" i="23"/>
  <c r="AF1949" i="23"/>
  <c r="AF1948" i="23"/>
  <c r="AF1947" i="23"/>
  <c r="AF1946" i="23"/>
  <c r="AF1945" i="23"/>
  <c r="AF1944" i="23"/>
  <c r="AF1943" i="23"/>
  <c r="AF1942" i="23"/>
  <c r="AF1941" i="23"/>
  <c r="AF1940" i="23"/>
  <c r="AF1939" i="23"/>
  <c r="AF1938" i="23"/>
  <c r="AF1937" i="23"/>
  <c r="AF1936" i="23"/>
  <c r="AF1935" i="23"/>
  <c r="AF1934" i="23"/>
  <c r="AF1933" i="23"/>
  <c r="AF1932" i="23"/>
  <c r="AF1931" i="23"/>
  <c r="AF1930" i="23"/>
  <c r="AF1929" i="23"/>
  <c r="AF1928" i="23"/>
  <c r="AF1927" i="23"/>
  <c r="AF1926" i="23"/>
  <c r="AF1925" i="23"/>
  <c r="AF1924" i="23"/>
  <c r="AF1923" i="23"/>
  <c r="AF1922" i="23"/>
  <c r="AF1921" i="23"/>
  <c r="AF1920" i="23"/>
  <c r="AF1919" i="23"/>
  <c r="AF1918" i="23"/>
  <c r="AF1917" i="23"/>
  <c r="AF1916" i="23"/>
  <c r="AF1915" i="23"/>
  <c r="AF1914" i="23"/>
  <c r="AF1913" i="23"/>
  <c r="AF1912" i="23"/>
  <c r="AF1911" i="23"/>
  <c r="AF1910" i="23"/>
  <c r="AF1909" i="23"/>
  <c r="AF1908" i="23"/>
  <c r="AF1907" i="23"/>
  <c r="AF1906" i="23"/>
  <c r="AF1905" i="23"/>
  <c r="AF1904" i="23"/>
  <c r="AF1903" i="23"/>
  <c r="AF1902" i="23"/>
  <c r="AF1901" i="23"/>
  <c r="AF1900" i="23"/>
  <c r="AF1899" i="23"/>
  <c r="AF1898" i="23"/>
  <c r="AF1897" i="23"/>
  <c r="AF1896" i="23"/>
  <c r="AF1895" i="23"/>
  <c r="AF1894" i="23"/>
  <c r="AF1893" i="23"/>
  <c r="AF1892" i="23"/>
  <c r="AF1891" i="23"/>
  <c r="AF1890" i="23"/>
  <c r="AF1889" i="23"/>
  <c r="AF1888" i="23"/>
  <c r="AF1887" i="23"/>
  <c r="AF1886" i="23"/>
  <c r="AF1885" i="23"/>
  <c r="AF1884" i="23"/>
  <c r="AF1883" i="23"/>
  <c r="AF1882" i="23"/>
  <c r="AF1881" i="23"/>
  <c r="AF1880" i="23"/>
  <c r="AF1879" i="23"/>
  <c r="AF1878" i="23"/>
  <c r="AF1877" i="23"/>
  <c r="AF1876" i="23"/>
  <c r="AF1875" i="23"/>
  <c r="AF1874" i="23"/>
  <c r="AF1873" i="23"/>
  <c r="AF1872" i="23"/>
  <c r="AF1871" i="23"/>
  <c r="AF1870" i="23"/>
  <c r="AF1869" i="23"/>
  <c r="AF1868" i="23"/>
  <c r="AF1867" i="23"/>
  <c r="AF1866" i="23"/>
  <c r="AF1865" i="23"/>
  <c r="AF1864" i="23"/>
  <c r="AF1863" i="23"/>
  <c r="AF1862" i="23"/>
  <c r="AF1861" i="23"/>
  <c r="AF1860" i="23"/>
  <c r="AF1859" i="23"/>
  <c r="AF1858" i="23"/>
  <c r="AF1857" i="23"/>
  <c r="AF1856" i="23"/>
  <c r="AF1855" i="23"/>
  <c r="AF1854" i="23"/>
  <c r="AF1853" i="23"/>
  <c r="AF1852" i="23"/>
  <c r="AF1851" i="23"/>
  <c r="AF1850" i="23"/>
  <c r="AF1849" i="23"/>
  <c r="AF1848" i="23"/>
  <c r="AF1847" i="23"/>
  <c r="AF1846" i="23"/>
  <c r="AF1845" i="23"/>
  <c r="AF1844" i="23"/>
  <c r="AF1843" i="23"/>
  <c r="AF1842" i="23"/>
  <c r="AF1841" i="23"/>
  <c r="AF1840" i="23"/>
  <c r="AF1839" i="23"/>
  <c r="AF1838" i="23"/>
  <c r="AF1837" i="23"/>
  <c r="AF1836" i="23"/>
  <c r="AF1835" i="23"/>
  <c r="AF1834" i="23"/>
  <c r="AF1833" i="23"/>
  <c r="AF1832" i="23"/>
  <c r="AF1831" i="23"/>
  <c r="AF1830" i="23"/>
  <c r="AF1829" i="23"/>
  <c r="AF1828" i="23"/>
  <c r="AF1827" i="23"/>
  <c r="AF1826" i="23"/>
  <c r="AF1825" i="23"/>
  <c r="AF1824" i="23"/>
  <c r="AF1823" i="23"/>
  <c r="AF1822" i="23"/>
  <c r="AF1821" i="23"/>
  <c r="AF1820" i="23"/>
  <c r="AF1819" i="23"/>
  <c r="AF1818" i="23"/>
  <c r="AF1817" i="23"/>
  <c r="AF1816" i="23"/>
  <c r="AF1815" i="23"/>
  <c r="AF1814" i="23"/>
  <c r="AF1813" i="23"/>
  <c r="AF1812" i="23"/>
  <c r="AF1811" i="23"/>
  <c r="AF1810" i="23"/>
  <c r="AF1809" i="23"/>
  <c r="AF1808" i="23"/>
  <c r="AF1807" i="23"/>
  <c r="AF1806" i="23"/>
  <c r="AF1805" i="23"/>
  <c r="AF1804" i="23"/>
  <c r="AF1803" i="23"/>
  <c r="AF1802" i="23"/>
  <c r="AF1801" i="23"/>
  <c r="AF1800" i="23"/>
  <c r="AF1799" i="23"/>
  <c r="AF1798" i="23"/>
  <c r="AF1797" i="23"/>
  <c r="AF1796" i="23"/>
  <c r="AF1795" i="23"/>
  <c r="AF1794" i="23"/>
  <c r="AF1793" i="23"/>
  <c r="AF1792" i="23"/>
  <c r="AF1791" i="23"/>
  <c r="AF1790" i="23"/>
  <c r="AF1789" i="23"/>
  <c r="AF1788" i="23"/>
  <c r="AF1787" i="23"/>
  <c r="AF1786" i="23"/>
  <c r="AF1785" i="23"/>
  <c r="AF1784" i="23"/>
  <c r="AF1783" i="23"/>
  <c r="AF1782" i="23"/>
  <c r="AF1781" i="23"/>
  <c r="AF1780" i="23"/>
  <c r="AF1779" i="23"/>
  <c r="AF1778" i="23"/>
  <c r="AF1777" i="23"/>
  <c r="AF1776" i="23"/>
  <c r="AF1775" i="23"/>
  <c r="AF1774" i="23"/>
  <c r="AF1773" i="23"/>
  <c r="AF1772" i="23"/>
  <c r="AF1771" i="23"/>
  <c r="AF1770" i="23"/>
  <c r="AF1769" i="23"/>
  <c r="AF1768" i="23"/>
  <c r="AF1767" i="23"/>
  <c r="AF1766" i="23"/>
  <c r="AF1765" i="23"/>
  <c r="AF1764" i="23"/>
  <c r="AF1763" i="23"/>
  <c r="AF1762" i="23"/>
  <c r="AF1761" i="23"/>
  <c r="AF1760" i="23"/>
  <c r="AF1759" i="23"/>
  <c r="AF1758" i="23"/>
  <c r="AF1757" i="23"/>
  <c r="AF1756" i="23"/>
  <c r="AF1755" i="23"/>
  <c r="AF1754" i="23"/>
  <c r="AF1753" i="23"/>
  <c r="AF1752" i="23"/>
  <c r="AF1751" i="23"/>
  <c r="AF1750" i="23"/>
  <c r="AF1749" i="23"/>
  <c r="AF1748" i="23"/>
  <c r="AF1747" i="23"/>
  <c r="AF1746" i="23"/>
  <c r="AF1745" i="23"/>
  <c r="AF1744" i="23"/>
  <c r="AF1743" i="23"/>
  <c r="AF1742" i="23"/>
  <c r="AF1741" i="23"/>
  <c r="AF1740" i="23"/>
  <c r="AF1739" i="23"/>
  <c r="AF1738" i="23"/>
  <c r="AF1737" i="23"/>
  <c r="AF1736" i="23"/>
  <c r="AF1735" i="23"/>
  <c r="AF1734" i="23"/>
  <c r="AF1733" i="23"/>
  <c r="AF1732" i="23"/>
  <c r="AF1731" i="23"/>
  <c r="AF1730" i="23"/>
  <c r="AF1729" i="23"/>
  <c r="AF1728" i="23"/>
  <c r="AF1727" i="23"/>
  <c r="AF1726" i="23"/>
  <c r="AF1725" i="23"/>
  <c r="AF1724" i="23"/>
  <c r="AF1723" i="23"/>
  <c r="AF1722" i="23"/>
  <c r="AF1721" i="23"/>
  <c r="AF1720" i="23"/>
  <c r="AF1719" i="23"/>
  <c r="AF1718" i="23"/>
  <c r="AF1717" i="23"/>
  <c r="AF1716" i="23"/>
  <c r="AF1715" i="23"/>
  <c r="AF1714" i="23"/>
  <c r="AF1713" i="23"/>
  <c r="AF1712" i="23"/>
  <c r="AF1711" i="23"/>
  <c r="AF1710" i="23"/>
  <c r="AF1709" i="23"/>
  <c r="AF1708" i="23"/>
  <c r="AF1707" i="23"/>
  <c r="AF1706" i="23"/>
  <c r="AF1705" i="23"/>
  <c r="AF1704" i="23"/>
  <c r="AF1703" i="23"/>
  <c r="AF1702" i="23"/>
  <c r="AF1701" i="23"/>
  <c r="AF1700" i="23"/>
  <c r="AF1699" i="23"/>
  <c r="AF1698" i="23"/>
  <c r="AF1697" i="23"/>
  <c r="AF1696" i="23"/>
  <c r="AF1695" i="23"/>
  <c r="AF1694" i="23"/>
  <c r="AF1693" i="23"/>
  <c r="AF1692" i="23"/>
  <c r="AF1691" i="23"/>
  <c r="AF1690" i="23"/>
  <c r="AF1689" i="23"/>
  <c r="AF1688" i="23"/>
  <c r="AF1687" i="23"/>
  <c r="AF1686" i="23"/>
  <c r="AF1685" i="23"/>
  <c r="AF1684" i="23"/>
  <c r="AF1683" i="23"/>
  <c r="AF1682" i="23"/>
  <c r="AF1681" i="23"/>
  <c r="AF1680" i="23"/>
  <c r="AF1679" i="23"/>
  <c r="AF1678" i="23"/>
  <c r="AF1677" i="23"/>
  <c r="AF1676" i="23"/>
  <c r="AF1675" i="23"/>
  <c r="AF1674" i="23"/>
  <c r="AF1673" i="23"/>
  <c r="AF1672" i="23"/>
  <c r="AF1671" i="23"/>
  <c r="AF1670" i="23"/>
  <c r="AF1669" i="23"/>
  <c r="AF1668" i="23"/>
  <c r="AF1667" i="23"/>
  <c r="AF1666" i="23"/>
  <c r="AF1665" i="23"/>
  <c r="AF1664" i="23"/>
  <c r="AF1663" i="23"/>
  <c r="AF1662" i="23"/>
  <c r="AF1661" i="23"/>
  <c r="AF1660" i="23"/>
  <c r="AF1659" i="23"/>
  <c r="AF1658" i="23"/>
  <c r="AF1657" i="23"/>
  <c r="AF1656" i="23"/>
  <c r="AF1655" i="23"/>
  <c r="AF1654" i="23"/>
  <c r="AF1653" i="23"/>
  <c r="AF1652" i="23"/>
  <c r="AF1651" i="23"/>
  <c r="AF1650" i="23"/>
  <c r="AF1649" i="23"/>
  <c r="AF1648" i="23"/>
  <c r="AF1647" i="23"/>
  <c r="AF1646" i="23"/>
  <c r="AF1645" i="23"/>
  <c r="AF1644" i="23"/>
  <c r="AF1643" i="23"/>
  <c r="AF1642" i="23"/>
  <c r="AF1641" i="23"/>
  <c r="AF1640" i="23"/>
  <c r="AF1639" i="23"/>
  <c r="AF1638" i="23"/>
  <c r="AF1637" i="23"/>
  <c r="AF1636" i="23"/>
  <c r="AF1635" i="23"/>
  <c r="AF1634" i="23"/>
  <c r="AF1633" i="23"/>
  <c r="AF1632" i="23"/>
  <c r="AF1631" i="23"/>
  <c r="AF1630" i="23"/>
  <c r="AF1629" i="23"/>
  <c r="AF1628" i="23"/>
  <c r="AF1627" i="23"/>
  <c r="AF1626" i="23"/>
  <c r="AF1625" i="23"/>
  <c r="AF1624" i="23"/>
  <c r="AF1623" i="23"/>
  <c r="AF1622" i="23"/>
  <c r="AF1621" i="23"/>
  <c r="AF1620" i="23"/>
  <c r="AF1619" i="23"/>
  <c r="AF1618" i="23"/>
  <c r="AF1617" i="23"/>
  <c r="AF1616" i="23"/>
  <c r="AF1615" i="23"/>
  <c r="AF1614" i="23"/>
  <c r="AF1613" i="23"/>
  <c r="AF1612" i="23"/>
  <c r="AF1611" i="23"/>
  <c r="AF1610" i="23"/>
  <c r="AF1609" i="23"/>
  <c r="AF1608" i="23"/>
  <c r="AF1607" i="23"/>
  <c r="AF1606" i="23"/>
  <c r="AF1605" i="23"/>
  <c r="AF1604" i="23"/>
  <c r="AF1603" i="23"/>
  <c r="AF1602" i="23"/>
  <c r="AF1601" i="23"/>
  <c r="AF1600" i="23"/>
  <c r="AF1599" i="23"/>
  <c r="AF1598" i="23"/>
  <c r="AF1597" i="23"/>
  <c r="AF1596" i="23"/>
  <c r="AF1595" i="23"/>
  <c r="AF1594" i="23"/>
  <c r="AF1593" i="23"/>
  <c r="AF1592" i="23"/>
  <c r="AF1591" i="23"/>
  <c r="AF1590" i="23"/>
  <c r="AF1589" i="23"/>
  <c r="AF1588" i="23"/>
  <c r="AF1587" i="23"/>
  <c r="AF1586" i="23"/>
  <c r="AF1585" i="23"/>
  <c r="AF1584" i="23"/>
  <c r="AF1583" i="23"/>
  <c r="AF1582" i="23"/>
  <c r="AF1581" i="23"/>
  <c r="AF1580" i="23"/>
  <c r="AF1579" i="23"/>
  <c r="AF1578" i="23"/>
  <c r="AF1577" i="23"/>
  <c r="AF1576" i="23"/>
  <c r="AF1575" i="23"/>
  <c r="AF1574" i="23"/>
  <c r="AF1573" i="23"/>
  <c r="AF1572" i="23"/>
  <c r="AF1571" i="23"/>
  <c r="AF1570" i="23"/>
  <c r="AF1569" i="23"/>
  <c r="AF1568" i="23"/>
  <c r="AF1567" i="23"/>
  <c r="AF1566" i="23"/>
  <c r="AF1565" i="23"/>
  <c r="AF1564" i="23"/>
  <c r="AF1563" i="23"/>
  <c r="AF1562" i="23"/>
  <c r="AF1561" i="23"/>
  <c r="AF1560" i="23"/>
  <c r="AF1559" i="23"/>
  <c r="AF1558" i="23"/>
  <c r="AF1557" i="23"/>
  <c r="AF1556" i="23"/>
  <c r="AF1555" i="23"/>
  <c r="AF1554" i="23"/>
  <c r="AF1553" i="23"/>
  <c r="AF1552" i="23"/>
  <c r="AF1551" i="23"/>
  <c r="AF1550" i="23"/>
  <c r="AF1549" i="23"/>
  <c r="AF1548" i="23"/>
  <c r="AF1547" i="23"/>
  <c r="AF1546" i="23"/>
  <c r="AF1545" i="23"/>
  <c r="AF1544" i="23"/>
  <c r="AF1543" i="23"/>
  <c r="AF1542" i="23"/>
  <c r="AF1541" i="23"/>
  <c r="AF1540" i="23"/>
  <c r="AF1539" i="23"/>
  <c r="AF1538" i="23"/>
  <c r="AF1537" i="23"/>
  <c r="AF1536" i="23"/>
  <c r="AF1535" i="23"/>
  <c r="AF1534" i="23"/>
  <c r="AF1533" i="23"/>
  <c r="AF1532" i="23"/>
  <c r="AF1531" i="23"/>
  <c r="AF1530" i="23"/>
  <c r="AF1529" i="23"/>
  <c r="AF1528" i="23"/>
  <c r="AF1527" i="23"/>
  <c r="AF1526" i="23"/>
  <c r="AF1525" i="23"/>
  <c r="AF1524" i="23"/>
  <c r="AF1523" i="23"/>
  <c r="AF1522" i="23"/>
  <c r="AF1521" i="23"/>
  <c r="AF1520" i="23"/>
  <c r="AF1519" i="23"/>
  <c r="AF1518" i="23"/>
  <c r="AF1517" i="23"/>
  <c r="AF1516" i="23"/>
  <c r="AF1515" i="23"/>
  <c r="AF1514" i="23"/>
  <c r="AF1513" i="23"/>
  <c r="AF1512" i="23"/>
  <c r="AF1511" i="23"/>
  <c r="AF1510" i="23"/>
  <c r="AF1509" i="23"/>
  <c r="AF1508" i="23"/>
  <c r="AF1507" i="23"/>
  <c r="AF1506" i="23"/>
  <c r="AF1505" i="23"/>
  <c r="AF1504" i="23"/>
  <c r="AF1503" i="23"/>
  <c r="AF1502" i="23"/>
  <c r="AF1501" i="23"/>
  <c r="AF1500" i="23"/>
  <c r="AF1499" i="23"/>
  <c r="AF1498" i="23"/>
  <c r="AF1497" i="23"/>
  <c r="AF1496" i="23"/>
  <c r="AF1495" i="23"/>
  <c r="AF1494" i="23"/>
  <c r="AF1493" i="23"/>
  <c r="AF1492" i="23"/>
  <c r="AF1491" i="23"/>
  <c r="AF1490" i="23"/>
  <c r="AF1489" i="23"/>
  <c r="AF1488" i="23"/>
  <c r="AF1487" i="23"/>
  <c r="AF1486" i="23"/>
  <c r="AF1485" i="23"/>
  <c r="AF1484" i="23"/>
  <c r="AF1483" i="23"/>
  <c r="AF1482" i="23"/>
  <c r="AF1481" i="23"/>
  <c r="AF1480" i="23"/>
  <c r="AF1479" i="23"/>
  <c r="AF1478" i="23"/>
  <c r="AF1477" i="23"/>
  <c r="AF1476" i="23"/>
  <c r="AF1475" i="23"/>
  <c r="AF1474" i="23"/>
  <c r="AF1473" i="23"/>
  <c r="AF1472" i="23"/>
  <c r="AF1471" i="23"/>
  <c r="AF1470" i="23"/>
  <c r="AF1469" i="23"/>
  <c r="AF1468" i="23"/>
  <c r="AF1467" i="23"/>
  <c r="AF1466" i="23"/>
  <c r="AF1465" i="23"/>
  <c r="AF1464" i="23"/>
  <c r="AF1463" i="23"/>
  <c r="AF1462" i="23"/>
  <c r="AF1461" i="23"/>
  <c r="AF1460" i="23"/>
  <c r="AF1459" i="23"/>
  <c r="AF1458" i="23"/>
  <c r="AF1457" i="23"/>
  <c r="AF1456" i="23"/>
  <c r="AF1455" i="23"/>
  <c r="AF1454" i="23"/>
  <c r="AF1453" i="23"/>
  <c r="AF1452" i="23"/>
  <c r="AF1451" i="23"/>
  <c r="AF1450" i="23"/>
  <c r="AF1449" i="23"/>
  <c r="AF1448" i="23"/>
  <c r="AF1447" i="23"/>
  <c r="AF1446" i="23"/>
  <c r="AF1445" i="23"/>
  <c r="AF1444" i="23"/>
  <c r="AF1443" i="23"/>
  <c r="AF1442" i="23"/>
  <c r="AF1441" i="23"/>
  <c r="AF1440" i="23"/>
  <c r="AF1439" i="23"/>
  <c r="AF1438" i="23"/>
  <c r="AF1437" i="23"/>
  <c r="AF1436" i="23"/>
  <c r="AF1435" i="23"/>
  <c r="AF1434" i="23"/>
  <c r="AF1433" i="23"/>
  <c r="AF1432" i="23"/>
  <c r="AF1431" i="23"/>
  <c r="AF1430" i="23"/>
  <c r="AF1429" i="23"/>
  <c r="AF1428" i="23"/>
  <c r="AF1427" i="23"/>
  <c r="AF1426" i="23"/>
  <c r="AF1425" i="23"/>
  <c r="AF1424" i="23"/>
  <c r="AF1423" i="23"/>
  <c r="AF1422" i="23"/>
  <c r="AF1421" i="23"/>
  <c r="AF1420" i="23"/>
  <c r="AF1419" i="23"/>
  <c r="AF1418" i="23"/>
  <c r="AF1417" i="23"/>
  <c r="AF1416" i="23"/>
  <c r="AF1415" i="23"/>
  <c r="AF1414" i="23"/>
  <c r="AF1413" i="23"/>
  <c r="AF1412" i="23"/>
  <c r="AF1411" i="23"/>
  <c r="AF1410" i="23"/>
  <c r="AF1409" i="23"/>
  <c r="AF1408" i="23"/>
  <c r="AF1407" i="23"/>
  <c r="AF1406" i="23"/>
  <c r="AF1405" i="23"/>
  <c r="AF1404" i="23"/>
  <c r="AF1403" i="23"/>
  <c r="AF1402" i="23"/>
  <c r="AF1401" i="23"/>
  <c r="AF1400" i="23"/>
  <c r="AF1399" i="23"/>
  <c r="AF1398" i="23"/>
  <c r="AF1397" i="23"/>
  <c r="AF1396" i="23"/>
  <c r="AF1395" i="23"/>
  <c r="AF1394" i="23"/>
  <c r="AF1393" i="23"/>
  <c r="AF1392" i="23"/>
  <c r="AF1391" i="23"/>
  <c r="AF1390" i="23"/>
  <c r="AF1389" i="23"/>
  <c r="AF1388" i="23"/>
  <c r="AF1387" i="23"/>
  <c r="AF1386" i="23"/>
  <c r="AF1385" i="23"/>
  <c r="AF1384" i="23"/>
  <c r="AF1383" i="23"/>
  <c r="AF1382" i="23"/>
  <c r="AF1381" i="23"/>
  <c r="AF1380" i="23"/>
  <c r="AF1379" i="23"/>
  <c r="AF1378" i="23"/>
  <c r="AF1377" i="23"/>
  <c r="AF1376" i="23"/>
  <c r="AF1375" i="23"/>
  <c r="AF1374" i="23"/>
  <c r="AF1373" i="23"/>
  <c r="AF1372" i="23"/>
  <c r="AF1371" i="23"/>
  <c r="AF1370" i="23"/>
  <c r="AF1369" i="23"/>
  <c r="AF1368" i="23"/>
  <c r="AF1367" i="23"/>
  <c r="AF1366" i="23"/>
  <c r="AF1365" i="23"/>
  <c r="AF1364" i="23"/>
  <c r="AF1363" i="23"/>
  <c r="AF1362" i="23"/>
  <c r="AF1361" i="23"/>
  <c r="AF1360" i="23"/>
  <c r="AF1359" i="23"/>
  <c r="AF1358" i="23"/>
  <c r="AF1357" i="23"/>
  <c r="AF1356" i="23"/>
  <c r="AF1355" i="23"/>
  <c r="AF1354" i="23"/>
  <c r="AF1353" i="23"/>
  <c r="AF1352" i="23"/>
  <c r="AF1351" i="23"/>
  <c r="AF1350" i="23"/>
  <c r="AF1349" i="23"/>
  <c r="AF1348" i="23"/>
  <c r="AF1347" i="23"/>
  <c r="AF1346" i="23"/>
  <c r="AF1345" i="23"/>
  <c r="AF1344" i="23"/>
  <c r="AF1343" i="23"/>
  <c r="AF1342" i="23"/>
  <c r="AF1341" i="23"/>
  <c r="AF1340" i="23"/>
  <c r="AF1339" i="23"/>
  <c r="AF1338" i="23"/>
  <c r="AF1337" i="23"/>
  <c r="AF1336" i="23"/>
  <c r="AF1335" i="23"/>
  <c r="AF1334" i="23"/>
  <c r="AF1333" i="23"/>
  <c r="AF1332" i="23"/>
  <c r="AF1331" i="23"/>
  <c r="AF1330" i="23"/>
  <c r="AF1329" i="23"/>
  <c r="AF1328" i="23"/>
  <c r="AF1327" i="23"/>
  <c r="AF1326" i="23"/>
  <c r="AF1325" i="23"/>
  <c r="AF1324" i="23"/>
  <c r="AF1323" i="23"/>
  <c r="AF1322" i="23"/>
  <c r="AF1321" i="23"/>
  <c r="AF1320" i="23"/>
  <c r="AF1319" i="23"/>
  <c r="AF1318" i="23"/>
  <c r="AF1317" i="23"/>
  <c r="AF1316" i="23"/>
  <c r="AF1315" i="23"/>
  <c r="AF1314" i="23"/>
  <c r="AF1313" i="23"/>
  <c r="AF1312" i="23"/>
  <c r="AF1311" i="23"/>
  <c r="AF1310" i="23"/>
  <c r="AF1309" i="23"/>
  <c r="AF1308" i="23"/>
  <c r="AF1307" i="23"/>
  <c r="AF1306" i="23"/>
  <c r="AF1305" i="23"/>
  <c r="AF1304" i="23"/>
  <c r="AF1303" i="23"/>
  <c r="AF1302" i="23"/>
  <c r="AF1301" i="23"/>
  <c r="AF1300" i="23"/>
  <c r="AF1299" i="23"/>
  <c r="AF1298" i="23"/>
  <c r="AF1297" i="23"/>
  <c r="AF1296" i="23"/>
  <c r="AF1295" i="23"/>
  <c r="AF1294" i="23"/>
  <c r="AF1293" i="23"/>
  <c r="AF1292" i="23"/>
  <c r="AF1291" i="23"/>
  <c r="AF1290" i="23"/>
  <c r="AF1289" i="23"/>
  <c r="AF1288" i="23"/>
  <c r="AF1287" i="23"/>
  <c r="AF1286" i="23"/>
  <c r="AF1285" i="23"/>
  <c r="AF1284" i="23"/>
  <c r="AF1283" i="23"/>
  <c r="AF1282" i="23"/>
  <c r="AF1281" i="23"/>
  <c r="AF1280" i="23"/>
  <c r="AF1279" i="23"/>
  <c r="AF1278" i="23"/>
  <c r="AF1277" i="23"/>
  <c r="AF1276" i="23"/>
  <c r="AF1275" i="23"/>
  <c r="AF1274" i="23"/>
  <c r="AF1273" i="23"/>
  <c r="AF1272" i="23"/>
  <c r="AF1271" i="23"/>
  <c r="AF1270" i="23"/>
  <c r="AF1269" i="23"/>
  <c r="AF1268" i="23"/>
  <c r="AF1267" i="23"/>
  <c r="AF1266" i="23"/>
  <c r="AF1265" i="23"/>
  <c r="AF1264" i="23"/>
  <c r="AF1263" i="23"/>
  <c r="AF1262" i="23"/>
  <c r="AF1261" i="23"/>
  <c r="AF1260" i="23"/>
  <c r="AF1259" i="23"/>
  <c r="AF1258" i="23"/>
  <c r="AF1257" i="23"/>
  <c r="AF1256" i="23"/>
  <c r="AF1255" i="23"/>
  <c r="AF1254" i="23"/>
  <c r="AF1253" i="23"/>
  <c r="AF1252" i="23"/>
  <c r="AF1251" i="23"/>
  <c r="AF1250" i="23"/>
  <c r="AF1249" i="23"/>
  <c r="AF1248" i="23"/>
  <c r="AF1247" i="23"/>
  <c r="AF1246" i="23"/>
  <c r="AF1245" i="23"/>
  <c r="AF1244" i="23"/>
  <c r="AF1243" i="23"/>
  <c r="AF1242" i="23"/>
  <c r="AF1241" i="23"/>
  <c r="AF1240" i="23"/>
  <c r="AF1239" i="23"/>
  <c r="AF1238" i="23"/>
  <c r="AF1237" i="23"/>
  <c r="AF1236" i="23"/>
  <c r="AF1235" i="23"/>
  <c r="AF1234" i="23"/>
  <c r="AF1233" i="23"/>
  <c r="AF1232" i="23"/>
  <c r="AF1231" i="23"/>
  <c r="AF1230" i="23"/>
  <c r="AF1229" i="23"/>
  <c r="AF1228" i="23"/>
  <c r="AF1227" i="23"/>
  <c r="AF1226" i="23"/>
  <c r="AF1225" i="23"/>
  <c r="AF1224" i="23"/>
  <c r="AF1223" i="23"/>
  <c r="AF1222" i="23"/>
  <c r="AF1221" i="23"/>
  <c r="AF1220" i="23"/>
  <c r="AF1219" i="23"/>
  <c r="AF1218" i="23"/>
  <c r="AF1217" i="23"/>
  <c r="AF1216" i="23"/>
  <c r="AF1215" i="23"/>
  <c r="AF1214" i="23"/>
  <c r="AF1213" i="23"/>
  <c r="AF1212" i="23"/>
  <c r="AF1211" i="23"/>
  <c r="AF1210" i="23"/>
  <c r="AF1209" i="23"/>
  <c r="AF1208" i="23"/>
  <c r="AF1207" i="23"/>
  <c r="AF1206" i="23"/>
  <c r="AF1205" i="23"/>
  <c r="AF1204" i="23"/>
  <c r="AF1203" i="23"/>
  <c r="AF1202" i="23"/>
  <c r="AF1201" i="23"/>
  <c r="AF1200" i="23"/>
  <c r="AF1199" i="23"/>
  <c r="AF1198" i="23"/>
  <c r="AF1197" i="23"/>
  <c r="AF1196" i="23"/>
  <c r="AF1195" i="23"/>
  <c r="AF1194" i="23"/>
  <c r="AF1193" i="23"/>
  <c r="AF1192" i="23"/>
  <c r="AF1191" i="23"/>
  <c r="AF1190" i="23"/>
  <c r="AF1189" i="23"/>
  <c r="AF1188" i="23"/>
  <c r="AF1187" i="23"/>
  <c r="AF1186" i="23"/>
  <c r="AF1185" i="23"/>
  <c r="AF1184" i="23"/>
  <c r="AF1183" i="23"/>
  <c r="AF1182" i="23"/>
  <c r="AF1181" i="23"/>
  <c r="AF1180" i="23"/>
  <c r="AF1179" i="23"/>
  <c r="AF1178" i="23"/>
  <c r="AF1177" i="23"/>
  <c r="AF1176" i="23"/>
  <c r="AF1175" i="23"/>
  <c r="AF1174" i="23"/>
  <c r="AF1173" i="23"/>
  <c r="AF1172" i="23"/>
  <c r="AF1171" i="23"/>
  <c r="AF1170" i="23"/>
  <c r="AF1169" i="23"/>
  <c r="AF1168" i="23"/>
  <c r="AF1167" i="23"/>
  <c r="AF1166" i="23"/>
  <c r="AF1165" i="23"/>
  <c r="AF1164" i="23"/>
  <c r="AF1163" i="23"/>
  <c r="AF1162" i="23"/>
  <c r="AF1161" i="23"/>
  <c r="AF1160" i="23"/>
  <c r="AF1159" i="23"/>
  <c r="AF1158" i="23"/>
  <c r="AF1157" i="23"/>
  <c r="AF1156" i="23"/>
  <c r="AF1155" i="23"/>
  <c r="AF1154" i="23"/>
  <c r="AF1153" i="23"/>
  <c r="AF1152" i="23"/>
  <c r="AF1151" i="23"/>
  <c r="AF1150" i="23"/>
  <c r="AF1149" i="23"/>
  <c r="AF1148" i="23"/>
  <c r="AF1147" i="23"/>
  <c r="AF1146" i="23"/>
  <c r="AF1145" i="23"/>
  <c r="AF1144" i="23"/>
  <c r="AF1143" i="23"/>
  <c r="AF1142" i="23"/>
  <c r="AF1141" i="23"/>
  <c r="AF1140" i="23"/>
  <c r="AF1139" i="23"/>
  <c r="AF1138" i="23"/>
  <c r="AF1137" i="23"/>
  <c r="AF1136" i="23"/>
  <c r="AF1135" i="23"/>
  <c r="AF1134" i="23"/>
  <c r="AF1133" i="23"/>
  <c r="AF1132" i="23"/>
  <c r="AF1131" i="23"/>
  <c r="AF1130" i="23"/>
  <c r="AF1129" i="23"/>
  <c r="AF1128" i="23"/>
  <c r="AF1127" i="23"/>
  <c r="AF1126" i="23"/>
  <c r="AF1125" i="23"/>
  <c r="AF1124" i="23"/>
  <c r="AF1123" i="23"/>
  <c r="AF1122" i="23"/>
  <c r="AF1121" i="23"/>
  <c r="AF1120" i="23"/>
  <c r="AF1119" i="23"/>
  <c r="AF1118" i="23"/>
  <c r="AF1117" i="23"/>
  <c r="AF1116" i="23"/>
  <c r="AF1115" i="23"/>
  <c r="AF1114" i="23"/>
  <c r="AF1113" i="23"/>
  <c r="AF1112" i="23"/>
  <c r="AF1111" i="23"/>
  <c r="AF1110" i="23"/>
  <c r="AF1109" i="23"/>
  <c r="AF1108" i="23"/>
  <c r="AF1107" i="23"/>
  <c r="AF1106" i="23"/>
  <c r="AF1105" i="23"/>
  <c r="AF1104" i="23"/>
  <c r="AF1103" i="23"/>
  <c r="AF1102" i="23"/>
  <c r="AF1101" i="23"/>
  <c r="AF1100" i="23"/>
  <c r="AF1099" i="23"/>
  <c r="AF1098" i="23"/>
  <c r="AF1097" i="23"/>
  <c r="AF1096" i="23"/>
  <c r="AF1095" i="23"/>
  <c r="AF1094" i="23"/>
  <c r="AF1093" i="23"/>
  <c r="AF1092" i="23"/>
  <c r="AF1091" i="23"/>
  <c r="AF1090" i="23"/>
  <c r="AF1089" i="23"/>
  <c r="AF1088" i="23"/>
  <c r="AF1087" i="23"/>
  <c r="AF1086" i="23"/>
  <c r="AF1085" i="23"/>
  <c r="AF1084" i="23"/>
  <c r="AF1083" i="23"/>
  <c r="AF1082" i="23"/>
  <c r="AF1081" i="23"/>
  <c r="AF1080" i="23"/>
  <c r="AF1079" i="23"/>
  <c r="AF1078" i="23"/>
  <c r="AF1077" i="23"/>
  <c r="AF1076" i="23"/>
  <c r="AF1075" i="23"/>
  <c r="AF1074" i="23"/>
  <c r="AF1073" i="23"/>
  <c r="AF1072" i="23"/>
  <c r="AF1071" i="23"/>
  <c r="AF1070" i="23"/>
  <c r="AF1069" i="23"/>
  <c r="AF1068" i="23"/>
  <c r="AF1067" i="23"/>
  <c r="AF1066" i="23"/>
  <c r="AF1065" i="23"/>
  <c r="AF1064" i="23"/>
  <c r="AF1063" i="23"/>
  <c r="AF1062" i="23"/>
  <c r="AF1061" i="23"/>
  <c r="AF1060" i="23"/>
  <c r="AF1059" i="23"/>
  <c r="AF1058" i="23"/>
  <c r="AF1057" i="23"/>
  <c r="AF1056" i="23"/>
  <c r="AF1055" i="23"/>
  <c r="AF1054" i="23"/>
  <c r="AF1053" i="23"/>
  <c r="AF1052" i="23"/>
  <c r="AF1051" i="23"/>
  <c r="AF1050" i="23"/>
  <c r="AF1049" i="23"/>
  <c r="AF1048" i="23"/>
  <c r="AF1047" i="23"/>
  <c r="AF1046" i="23"/>
  <c r="AF1045" i="23"/>
  <c r="AF1044" i="23"/>
  <c r="AF1043" i="23"/>
  <c r="AF1042" i="23"/>
  <c r="AF1041" i="23"/>
  <c r="AF1040" i="23"/>
  <c r="AF1039" i="23"/>
  <c r="AF1038" i="23"/>
  <c r="AF1037" i="23"/>
  <c r="AF1036" i="23"/>
  <c r="AF1035" i="23"/>
  <c r="AF1034" i="23"/>
  <c r="AF1033" i="23"/>
  <c r="AF1032" i="23"/>
  <c r="AF1031" i="23"/>
  <c r="AF1030" i="23"/>
  <c r="AF1029" i="23"/>
  <c r="AF1028" i="23"/>
  <c r="AF1027" i="23"/>
  <c r="AF1026" i="23"/>
  <c r="AF1025" i="23"/>
  <c r="AF1024" i="23"/>
  <c r="AF1023" i="23"/>
  <c r="AF1022" i="23"/>
  <c r="AF1021" i="23"/>
  <c r="AF1020" i="23"/>
  <c r="AF1019" i="23"/>
  <c r="AF1018" i="23"/>
  <c r="AF1017" i="23"/>
  <c r="AF1016" i="23"/>
  <c r="AF1015" i="23"/>
  <c r="AF1014" i="23"/>
  <c r="AF1013" i="23"/>
  <c r="AF1012" i="23"/>
  <c r="AF1011" i="23"/>
  <c r="AF1010" i="23"/>
  <c r="AF1009" i="23"/>
  <c r="AF1008" i="23"/>
  <c r="AF1007" i="23"/>
  <c r="AF1006" i="23"/>
  <c r="AF1005" i="23"/>
  <c r="AF1004" i="23"/>
  <c r="AF1003" i="23"/>
  <c r="AF1002" i="23"/>
  <c r="AF1001" i="23"/>
  <c r="AF1000" i="23"/>
  <c r="AF999" i="23"/>
  <c r="AF998" i="23"/>
  <c r="AF997" i="23"/>
  <c r="AF996" i="23"/>
  <c r="AF995" i="23"/>
  <c r="AF994" i="23"/>
  <c r="AF993" i="23"/>
  <c r="AF992" i="23"/>
  <c r="AF991" i="23"/>
  <c r="AF990" i="23"/>
  <c r="AF989" i="23"/>
  <c r="AF988" i="23"/>
  <c r="AF987" i="23"/>
  <c r="AF986" i="23"/>
  <c r="AF985" i="23"/>
  <c r="AF984" i="23"/>
  <c r="AF983" i="23"/>
  <c r="AF982" i="23"/>
  <c r="AF981" i="23"/>
  <c r="AF980" i="23"/>
  <c r="AF979" i="23"/>
  <c r="AF978" i="23"/>
  <c r="AF977" i="23"/>
  <c r="AF976" i="23"/>
  <c r="AF975" i="23"/>
  <c r="AF974" i="23"/>
  <c r="AF973" i="23"/>
  <c r="AF972" i="23"/>
  <c r="AF971" i="23"/>
  <c r="AF970" i="23"/>
  <c r="AF969" i="23"/>
  <c r="AF968" i="23"/>
  <c r="AF967" i="23"/>
  <c r="AF966" i="23"/>
  <c r="AF965" i="23"/>
  <c r="AF964" i="23"/>
  <c r="AF963" i="23"/>
  <c r="AF962" i="23"/>
  <c r="AF961" i="23"/>
  <c r="AF960" i="23"/>
  <c r="AF959" i="23"/>
  <c r="AF958" i="23"/>
  <c r="AF957" i="23"/>
  <c r="AF956" i="23"/>
  <c r="AF955" i="23"/>
  <c r="AF954" i="23"/>
  <c r="AF953" i="23"/>
  <c r="AF952" i="23"/>
  <c r="AF951" i="23"/>
  <c r="AF950" i="23"/>
  <c r="AF949" i="23"/>
  <c r="AF948" i="23"/>
  <c r="AF947" i="23"/>
  <c r="AF946" i="23"/>
  <c r="AF945" i="23"/>
  <c r="AF944" i="23"/>
  <c r="AF943" i="23"/>
  <c r="AF942" i="23"/>
  <c r="AF941" i="23"/>
  <c r="AF940" i="23"/>
  <c r="AF939" i="23"/>
  <c r="AF938" i="23"/>
  <c r="AF937" i="23"/>
  <c r="AF936" i="23"/>
  <c r="AF935" i="23"/>
  <c r="AF934" i="23"/>
  <c r="AF933" i="23"/>
  <c r="AF932" i="23"/>
  <c r="AF931" i="23"/>
  <c r="AF930" i="23"/>
  <c r="AF929" i="23"/>
  <c r="AF928" i="23"/>
  <c r="AF927" i="23"/>
  <c r="AF926" i="23"/>
  <c r="AF925" i="23"/>
  <c r="AF924" i="23"/>
  <c r="AF923" i="23"/>
  <c r="AF922" i="23"/>
  <c r="AF921" i="23"/>
  <c r="AF920" i="23"/>
  <c r="AF919" i="23"/>
  <c r="AF918" i="23"/>
  <c r="AF917" i="23"/>
  <c r="AF916" i="23"/>
  <c r="AF915" i="23"/>
  <c r="AF914" i="23"/>
  <c r="AF913" i="23"/>
  <c r="AF912" i="23"/>
  <c r="AF911" i="23"/>
  <c r="AF910" i="23"/>
  <c r="AF909" i="23"/>
  <c r="AF908" i="23"/>
  <c r="AF907" i="23"/>
  <c r="AF906" i="23"/>
  <c r="AF905" i="23"/>
  <c r="AF904" i="23"/>
  <c r="AF903" i="23"/>
  <c r="AF902" i="23"/>
  <c r="AF901" i="23"/>
  <c r="AF900" i="23"/>
  <c r="AF899" i="23"/>
  <c r="AF898" i="23"/>
  <c r="AF897" i="23"/>
  <c r="AF896" i="23"/>
  <c r="AF895" i="23"/>
  <c r="AF894" i="23"/>
  <c r="AF893" i="23"/>
  <c r="AF892" i="23"/>
  <c r="AF891" i="23"/>
  <c r="AF890" i="23"/>
  <c r="AF889" i="23"/>
  <c r="AF888" i="23"/>
  <c r="AF887" i="23"/>
  <c r="AF886" i="23"/>
  <c r="AF885" i="23"/>
  <c r="AF884" i="23"/>
  <c r="AF883" i="23"/>
  <c r="AF882" i="23"/>
  <c r="AF881" i="23"/>
  <c r="AF880" i="23"/>
  <c r="AF879" i="23"/>
  <c r="AF878" i="23"/>
  <c r="AF877" i="23"/>
  <c r="AF876" i="23"/>
  <c r="AF875" i="23"/>
  <c r="AF874" i="23"/>
  <c r="AF873" i="23"/>
  <c r="AF872" i="23"/>
  <c r="AF871" i="23"/>
  <c r="AF870" i="23"/>
  <c r="AF869" i="23"/>
  <c r="AF868" i="23"/>
  <c r="AF867" i="23"/>
  <c r="AF866" i="23"/>
  <c r="AF865" i="23"/>
  <c r="AF864" i="23"/>
  <c r="AF863" i="23"/>
  <c r="AF862" i="23"/>
  <c r="AF861" i="23"/>
  <c r="AF860" i="23"/>
  <c r="AF859" i="23"/>
  <c r="AF858" i="23"/>
  <c r="AF857" i="23"/>
  <c r="AF856" i="23"/>
  <c r="AF855" i="23"/>
  <c r="AF854" i="23"/>
  <c r="AF853" i="23"/>
  <c r="AF852" i="23"/>
  <c r="AF851" i="23"/>
  <c r="AF850" i="23"/>
  <c r="AF849" i="23"/>
  <c r="AF848" i="23"/>
  <c r="AF847" i="23"/>
  <c r="AF846" i="23"/>
  <c r="AF845" i="23"/>
  <c r="AF844" i="23"/>
  <c r="AF843" i="23"/>
  <c r="AF842" i="23"/>
  <c r="AF841" i="23"/>
  <c r="AF840" i="23"/>
  <c r="AF839" i="23"/>
  <c r="AF838" i="23"/>
  <c r="AF837" i="23"/>
  <c r="AF836" i="23"/>
  <c r="AF835" i="23"/>
  <c r="AF834" i="23"/>
  <c r="AF833" i="23"/>
  <c r="AF832" i="23"/>
  <c r="AF831" i="23"/>
  <c r="AF830" i="23"/>
  <c r="AF829" i="23"/>
  <c r="AF828" i="23"/>
  <c r="AF827" i="23"/>
  <c r="AF826" i="23"/>
  <c r="AF825" i="23"/>
  <c r="AF824" i="23"/>
  <c r="AF823" i="23"/>
  <c r="AF822" i="23"/>
  <c r="AF821" i="23"/>
  <c r="AF820" i="23"/>
  <c r="AF819" i="23"/>
  <c r="AF818" i="23"/>
  <c r="AF817" i="23"/>
  <c r="AF816" i="23"/>
  <c r="AF815" i="23"/>
  <c r="AF814" i="23"/>
  <c r="AF813" i="23"/>
  <c r="AF812" i="23"/>
  <c r="AF811" i="23"/>
  <c r="AF810" i="23"/>
  <c r="AF809" i="23"/>
  <c r="AF808" i="23"/>
  <c r="AF807" i="23"/>
  <c r="AF806" i="23"/>
  <c r="AF805" i="23"/>
  <c r="AF804" i="23"/>
  <c r="AF803" i="23"/>
  <c r="AF802" i="23"/>
  <c r="AF801" i="23"/>
  <c r="AF800" i="23"/>
  <c r="AF799" i="23"/>
  <c r="AF798" i="23"/>
  <c r="AF797" i="23"/>
  <c r="AF796" i="23"/>
  <c r="AF795" i="23"/>
  <c r="AF794" i="23"/>
  <c r="AF793" i="23"/>
  <c r="AF792" i="23"/>
  <c r="AF791" i="23"/>
  <c r="AF790" i="23"/>
  <c r="AF789" i="23"/>
  <c r="AF788" i="23"/>
  <c r="AF787" i="23"/>
  <c r="AF786" i="23"/>
  <c r="AF785" i="23"/>
  <c r="AF784" i="23"/>
  <c r="AF783" i="23"/>
  <c r="AF782" i="23"/>
  <c r="AF781" i="23"/>
  <c r="AF780" i="23"/>
  <c r="AF779" i="23"/>
  <c r="AF778" i="23"/>
  <c r="AF777" i="23"/>
  <c r="AF776" i="23"/>
  <c r="AF775" i="23"/>
  <c r="AF774" i="23"/>
  <c r="AF773" i="23"/>
  <c r="AF772" i="23"/>
  <c r="AF771" i="23"/>
  <c r="AF770" i="23"/>
  <c r="AF769" i="23"/>
  <c r="AF768" i="23"/>
  <c r="AF767" i="23"/>
  <c r="AF766" i="23"/>
  <c r="AF765" i="23"/>
  <c r="AF764" i="23"/>
  <c r="AF763" i="23"/>
  <c r="AF762" i="23"/>
  <c r="AF761" i="23"/>
  <c r="AF760" i="23"/>
  <c r="AF759" i="23"/>
  <c r="AF758" i="23"/>
  <c r="AF757" i="23"/>
  <c r="AF756" i="23"/>
  <c r="AF755" i="23"/>
  <c r="AF754" i="23"/>
  <c r="AF753" i="23"/>
  <c r="AF752" i="23"/>
  <c r="AF751" i="23"/>
  <c r="AF750" i="23"/>
  <c r="AF749" i="23"/>
  <c r="AF748" i="23"/>
  <c r="AF747" i="23"/>
  <c r="AF746" i="23"/>
  <c r="AF745" i="23"/>
  <c r="AF744" i="23"/>
  <c r="AF743" i="23"/>
  <c r="AF742" i="23"/>
  <c r="AF741" i="23"/>
  <c r="AF740" i="23"/>
  <c r="AF739" i="23"/>
  <c r="AF738" i="23"/>
  <c r="AF737" i="23"/>
  <c r="AF736" i="23"/>
  <c r="AF735" i="23"/>
  <c r="AF734" i="23"/>
  <c r="AF733" i="23"/>
  <c r="AF732" i="23"/>
  <c r="AF731" i="23"/>
  <c r="AF730" i="23"/>
  <c r="AF729" i="23"/>
  <c r="AF728" i="23"/>
  <c r="AF727" i="23"/>
  <c r="AF726" i="23"/>
  <c r="AF725" i="23"/>
  <c r="AF724" i="23"/>
  <c r="AF723" i="23"/>
  <c r="AF722" i="23"/>
  <c r="AF721" i="23"/>
  <c r="AF720" i="23"/>
  <c r="AF719" i="23"/>
  <c r="AF718" i="23"/>
  <c r="AF717" i="23"/>
  <c r="AF716" i="23"/>
  <c r="AF715" i="23"/>
  <c r="AF714" i="23"/>
  <c r="AF713" i="23"/>
  <c r="AF712" i="23"/>
  <c r="AF711" i="23"/>
  <c r="AF710" i="23"/>
  <c r="AF709" i="23"/>
  <c r="AF708" i="23"/>
  <c r="AF707" i="23"/>
  <c r="AF706" i="23"/>
  <c r="AF705" i="23"/>
  <c r="AF704" i="23"/>
  <c r="AF703" i="23"/>
  <c r="AF702" i="23"/>
  <c r="AF701" i="23"/>
  <c r="AF700" i="23"/>
  <c r="AF699" i="23"/>
  <c r="AF698" i="23"/>
  <c r="AF697" i="23"/>
  <c r="AF696" i="23"/>
  <c r="AF695" i="23"/>
  <c r="AF694" i="23"/>
  <c r="AF693" i="23"/>
  <c r="AF692" i="23"/>
  <c r="AF691" i="23"/>
  <c r="AF690" i="23"/>
  <c r="AF689" i="23"/>
  <c r="AF688" i="23"/>
  <c r="AF687" i="23"/>
  <c r="AF686" i="23"/>
  <c r="AF685" i="23"/>
  <c r="AF684" i="23"/>
  <c r="AF683" i="23"/>
  <c r="AF682" i="23"/>
  <c r="AF681" i="23"/>
  <c r="AF680" i="23"/>
  <c r="AF679" i="23"/>
  <c r="AF678" i="23"/>
  <c r="AF677" i="23"/>
  <c r="AF676" i="23"/>
  <c r="AF675" i="23"/>
  <c r="AF674" i="23"/>
  <c r="AF673" i="23"/>
  <c r="AF672" i="23"/>
  <c r="AF671" i="23"/>
  <c r="AF670" i="23"/>
  <c r="AF669" i="23"/>
  <c r="AF668" i="23"/>
  <c r="AF667" i="23"/>
  <c r="AF666" i="23"/>
  <c r="AF665" i="23"/>
  <c r="AF664" i="23"/>
  <c r="AF663" i="23"/>
  <c r="AF662" i="23"/>
  <c r="AF661" i="23"/>
  <c r="AF660" i="23"/>
  <c r="AF659" i="23"/>
  <c r="AF658" i="23"/>
  <c r="AF657" i="23"/>
  <c r="AF656" i="23"/>
  <c r="AF655" i="23"/>
  <c r="AF654" i="23"/>
  <c r="AF653" i="23"/>
  <c r="AF652" i="23"/>
  <c r="AF651" i="23"/>
  <c r="AF650" i="23"/>
  <c r="AF649" i="23"/>
  <c r="AF648" i="23"/>
  <c r="AF647" i="23"/>
  <c r="AF646" i="23"/>
  <c r="AF645" i="23"/>
  <c r="AF644" i="23"/>
  <c r="AF643" i="23"/>
  <c r="AF642" i="23"/>
  <c r="AF641" i="23"/>
  <c r="AF640" i="23"/>
  <c r="AF639" i="23"/>
  <c r="AF638" i="23"/>
  <c r="AF637" i="23"/>
  <c r="AF636" i="23"/>
  <c r="AF635" i="23"/>
  <c r="AF634" i="23"/>
  <c r="AF633" i="23"/>
  <c r="AF632" i="23"/>
  <c r="AF631" i="23"/>
  <c r="AF630" i="23"/>
  <c r="AF629" i="23"/>
  <c r="AF628" i="23"/>
  <c r="AF627" i="23"/>
  <c r="AF626" i="23"/>
  <c r="AF625" i="23"/>
  <c r="AF624" i="23"/>
  <c r="AF623" i="23"/>
  <c r="AF622" i="23"/>
  <c r="AF621" i="23"/>
  <c r="AF620" i="23"/>
  <c r="AF619" i="23"/>
  <c r="AF618" i="23"/>
  <c r="AF617" i="23"/>
  <c r="AF616" i="23"/>
  <c r="AF615" i="23"/>
  <c r="AF614" i="23"/>
  <c r="AF613" i="23"/>
  <c r="AF612" i="23"/>
  <c r="AF611" i="23"/>
  <c r="AF610" i="23"/>
  <c r="AF609" i="23"/>
  <c r="AF608" i="23"/>
  <c r="AF607" i="23"/>
  <c r="AF606" i="23"/>
  <c r="AF605" i="23"/>
  <c r="AF604" i="23"/>
  <c r="AF603" i="23"/>
  <c r="AF602" i="23"/>
  <c r="AF601" i="23"/>
  <c r="AF600" i="23"/>
  <c r="AF599" i="23"/>
  <c r="AF598" i="23"/>
  <c r="AF597" i="23"/>
  <c r="AF596" i="23"/>
  <c r="AF595" i="23"/>
  <c r="AF594" i="23"/>
  <c r="AF593" i="23"/>
  <c r="AF592" i="23"/>
  <c r="AF591" i="23"/>
  <c r="AF590" i="23"/>
  <c r="AF589" i="23"/>
  <c r="AF588" i="23"/>
  <c r="AF587" i="23"/>
  <c r="AF586" i="23"/>
  <c r="AF585" i="23"/>
  <c r="AF584" i="23"/>
  <c r="AF583" i="23"/>
  <c r="AF582" i="23"/>
  <c r="AF581" i="23"/>
  <c r="AF580" i="23"/>
  <c r="AF579" i="23"/>
  <c r="AF578" i="23"/>
  <c r="AF577" i="23"/>
  <c r="AF576" i="23"/>
  <c r="AF575" i="23"/>
  <c r="AF574" i="23"/>
  <c r="AF573" i="23"/>
  <c r="AF572" i="23"/>
  <c r="AF571" i="23"/>
  <c r="AF570" i="23"/>
  <c r="AF569" i="23"/>
  <c r="AF568" i="23"/>
  <c r="AF567" i="23"/>
  <c r="AF566" i="23"/>
  <c r="AF565" i="23"/>
  <c r="AF564" i="23"/>
  <c r="AF563" i="23"/>
  <c r="AF562" i="23"/>
  <c r="AF561" i="23"/>
  <c r="AF560" i="23"/>
  <c r="AF559" i="23"/>
  <c r="AF558" i="23"/>
  <c r="AF557" i="23"/>
  <c r="AF556" i="23"/>
  <c r="AF555" i="23"/>
  <c r="AF554" i="23"/>
  <c r="AF553" i="23"/>
  <c r="AF552" i="23"/>
  <c r="AF551" i="23"/>
  <c r="AF550" i="23"/>
  <c r="AF549" i="23"/>
  <c r="AF548" i="23"/>
  <c r="AF547" i="23"/>
  <c r="AF546" i="23"/>
  <c r="AF545" i="23"/>
  <c r="AF544" i="23"/>
  <c r="AF543" i="23"/>
  <c r="AF542" i="23"/>
  <c r="AF541" i="23"/>
  <c r="AF540" i="23"/>
  <c r="AF539" i="23"/>
  <c r="AF538" i="23"/>
  <c r="AF537" i="23"/>
  <c r="AF536" i="23"/>
  <c r="AF535" i="23"/>
  <c r="AF534" i="23"/>
  <c r="AF533" i="23"/>
  <c r="AF532" i="23"/>
  <c r="AF531" i="23"/>
  <c r="AF530" i="23"/>
  <c r="AF529" i="23"/>
  <c r="AF528" i="23"/>
  <c r="AF527" i="23"/>
  <c r="AF526" i="23"/>
  <c r="AF525" i="23"/>
  <c r="AF524" i="23"/>
  <c r="AF523" i="23"/>
  <c r="AF522" i="23"/>
  <c r="AF521" i="23"/>
  <c r="AF520" i="23"/>
  <c r="AF519" i="23"/>
  <c r="AF518" i="23"/>
  <c r="AF517" i="23"/>
  <c r="AF516" i="23"/>
  <c r="AF515" i="23"/>
  <c r="AF514" i="23"/>
  <c r="AF513" i="23"/>
  <c r="AF512" i="23"/>
  <c r="AF511" i="23"/>
  <c r="AF510" i="23"/>
  <c r="AF509" i="23"/>
  <c r="AF508" i="23"/>
  <c r="AF507" i="23"/>
  <c r="AF506" i="23"/>
  <c r="AF505" i="23"/>
  <c r="AF504" i="23"/>
  <c r="AF503" i="23"/>
  <c r="AF502" i="23"/>
  <c r="AF501" i="23"/>
  <c r="AF500" i="23"/>
  <c r="AF499" i="23"/>
  <c r="AF498" i="23"/>
  <c r="AF497" i="23"/>
  <c r="AF496" i="23"/>
  <c r="AF495" i="23"/>
  <c r="AF494" i="23"/>
  <c r="AF493" i="23"/>
  <c r="AF492" i="23"/>
  <c r="AF491" i="23"/>
  <c r="AF490" i="23"/>
  <c r="AF489" i="23"/>
  <c r="AF488" i="23"/>
  <c r="AF487" i="23"/>
  <c r="AF486" i="23"/>
  <c r="AF485" i="23"/>
  <c r="AF484" i="23"/>
  <c r="AF483" i="23"/>
  <c r="AF482" i="23"/>
  <c r="AF481" i="23"/>
  <c r="AF480" i="23"/>
  <c r="AF479" i="23"/>
  <c r="AF478" i="23"/>
  <c r="AF477" i="23"/>
  <c r="AF476" i="23"/>
  <c r="AF475" i="23"/>
  <c r="AF474" i="23"/>
  <c r="AF473" i="23"/>
  <c r="AF472" i="23"/>
  <c r="AF471" i="23"/>
  <c r="AF470" i="23"/>
  <c r="AF469" i="23"/>
  <c r="AF468" i="23"/>
  <c r="AF467" i="23"/>
  <c r="AF466" i="23"/>
  <c r="AF465" i="23"/>
  <c r="AF464" i="23"/>
  <c r="AF463" i="23"/>
  <c r="AF462" i="23"/>
  <c r="AF461" i="23"/>
  <c r="AF460" i="23"/>
  <c r="AF459" i="23"/>
  <c r="AF458" i="23"/>
  <c r="AF457" i="23"/>
  <c r="AF456" i="23"/>
  <c r="AF455" i="23"/>
  <c r="AF454" i="23"/>
  <c r="AF453" i="23"/>
  <c r="AF452" i="23"/>
  <c r="AF451" i="23"/>
  <c r="AF450" i="23"/>
  <c r="AF449" i="23"/>
  <c r="AF448" i="23"/>
  <c r="AF447" i="23"/>
  <c r="AF446" i="23"/>
  <c r="AF445" i="23"/>
  <c r="AF444" i="23"/>
  <c r="AF443" i="23"/>
  <c r="AF442" i="23"/>
  <c r="AF441" i="23"/>
  <c r="AF440" i="23"/>
  <c r="AF439" i="23"/>
  <c r="AF438" i="23"/>
  <c r="AF437" i="23"/>
  <c r="AF436" i="23"/>
  <c r="AF435" i="23"/>
  <c r="AF434" i="23"/>
  <c r="AF433" i="23"/>
  <c r="AF432" i="23"/>
  <c r="AF431" i="23"/>
  <c r="AF430" i="23"/>
  <c r="AF429" i="23"/>
  <c r="AF428" i="23"/>
  <c r="AF427" i="23"/>
  <c r="AF426" i="23"/>
  <c r="AF425" i="23"/>
  <c r="AF424" i="23"/>
  <c r="AF423" i="23"/>
  <c r="AF422" i="23"/>
  <c r="AF421" i="23"/>
  <c r="AF420" i="23"/>
  <c r="AF419" i="23"/>
  <c r="AF418" i="23"/>
  <c r="AF417" i="23"/>
  <c r="AF416" i="23"/>
  <c r="AF415" i="23"/>
  <c r="AF414" i="23"/>
  <c r="AF413" i="23"/>
  <c r="AF412" i="23"/>
  <c r="AF411" i="23"/>
  <c r="AF410" i="23"/>
  <c r="AF409" i="23"/>
  <c r="AF408" i="23"/>
  <c r="AF407" i="23"/>
  <c r="AF406" i="23"/>
  <c r="AF405" i="23"/>
  <c r="AF404" i="23"/>
  <c r="AF403" i="23"/>
  <c r="AF402" i="23"/>
  <c r="AF401" i="23"/>
  <c r="AF400" i="23"/>
  <c r="AF399" i="23"/>
  <c r="AF398" i="23"/>
  <c r="AF397" i="23"/>
  <c r="AF396" i="23"/>
  <c r="AF395" i="23"/>
  <c r="AF394" i="23"/>
  <c r="R367" i="23"/>
  <c r="Q367" i="23"/>
  <c r="P367" i="23"/>
  <c r="O367" i="23"/>
  <c r="N367" i="23"/>
  <c r="AF393" i="23"/>
  <c r="R366" i="23"/>
  <c r="Q366" i="23"/>
  <c r="P366" i="23"/>
  <c r="O366" i="23"/>
  <c r="N366" i="23"/>
  <c r="AF392" i="23"/>
  <c r="R365" i="23"/>
  <c r="Q365" i="23"/>
  <c r="P365" i="23"/>
  <c r="O365" i="23"/>
  <c r="N365" i="23"/>
  <c r="AF391" i="23"/>
  <c r="AF390" i="23"/>
  <c r="AF389" i="23"/>
  <c r="AF388" i="23"/>
  <c r="AF387" i="23"/>
  <c r="AF386" i="23"/>
  <c r="AF385" i="23"/>
  <c r="AF384" i="23"/>
  <c r="AF383" i="23"/>
  <c r="AF382" i="23"/>
  <c r="AF381" i="23"/>
  <c r="R380" i="23"/>
  <c r="Q380" i="23"/>
  <c r="P380" i="23"/>
  <c r="O380" i="23"/>
  <c r="N380" i="23"/>
  <c r="AF380" i="23"/>
  <c r="R379" i="23"/>
  <c r="Q379" i="23"/>
  <c r="P379" i="23"/>
  <c r="O379" i="23"/>
  <c r="N379" i="23"/>
  <c r="AF379" i="23"/>
  <c r="R378" i="23"/>
  <c r="Q378" i="23"/>
  <c r="P378" i="23"/>
  <c r="O378" i="23"/>
  <c r="N378" i="23"/>
  <c r="AF378" i="23"/>
  <c r="AF377" i="23"/>
  <c r="R393" i="23"/>
  <c r="Q393" i="23"/>
  <c r="P393" i="23"/>
  <c r="O393" i="23"/>
  <c r="N393" i="23"/>
  <c r="R392" i="23"/>
  <c r="Q392" i="23"/>
  <c r="P392" i="23"/>
  <c r="O392" i="23"/>
  <c r="N392" i="23"/>
  <c r="R391" i="23"/>
  <c r="Q391" i="23"/>
  <c r="P391" i="23"/>
  <c r="O391" i="23"/>
  <c r="N391" i="23"/>
  <c r="AF365" i="23"/>
  <c r="AF363" i="23"/>
  <c r="AF362" i="23"/>
  <c r="AF361" i="23"/>
  <c r="AF360" i="23"/>
  <c r="AF359" i="23"/>
  <c r="AF358" i="23"/>
  <c r="AF357" i="23"/>
  <c r="AF356" i="23"/>
  <c r="AF355" i="23"/>
  <c r="AF354" i="23"/>
  <c r="AF353" i="23"/>
  <c r="AF352" i="23"/>
  <c r="AF351" i="23"/>
  <c r="G351" i="23"/>
  <c r="D351" i="23"/>
  <c r="AF350" i="23"/>
  <c r="G350" i="23"/>
  <c r="D350" i="23"/>
  <c r="AF349" i="23"/>
  <c r="G349" i="23"/>
  <c r="D349" i="23"/>
  <c r="AF348" i="23"/>
  <c r="G348" i="23"/>
  <c r="D348" i="23"/>
  <c r="AF347" i="23"/>
  <c r="G347" i="23"/>
  <c r="D347" i="23"/>
  <c r="AF346" i="23"/>
  <c r="G346" i="23"/>
  <c r="D346" i="23"/>
  <c r="AF345" i="23"/>
  <c r="G345" i="23"/>
  <c r="D345" i="23"/>
  <c r="AF344" i="23"/>
  <c r="G344" i="23"/>
  <c r="D344" i="23"/>
  <c r="AF343" i="23"/>
  <c r="G343" i="23"/>
  <c r="D343" i="23"/>
  <c r="AF342" i="23"/>
  <c r="G342" i="23"/>
  <c r="D342" i="23"/>
  <c r="AF341" i="23"/>
  <c r="G341" i="23"/>
  <c r="D341" i="23"/>
  <c r="AF340" i="23"/>
  <c r="G340" i="23"/>
  <c r="D340" i="23"/>
  <c r="B340" i="23"/>
  <c r="B341" i="23" s="1"/>
  <c r="B342" i="23" s="1"/>
  <c r="B343" i="23" s="1"/>
  <c r="B344" i="23" s="1"/>
  <c r="B345" i="23" s="1"/>
  <c r="B346" i="23" s="1"/>
  <c r="B347" i="23" s="1"/>
  <c r="B348" i="23" s="1"/>
  <c r="B349" i="23" s="1"/>
  <c r="B350" i="23" s="1"/>
  <c r="B351" i="23" s="1"/>
  <c r="AF339" i="23"/>
  <c r="G339" i="23"/>
  <c r="E339" i="23"/>
  <c r="E340" i="23" s="1"/>
  <c r="E341" i="23" s="1"/>
  <c r="E342" i="23" s="1"/>
  <c r="E343" i="23" s="1"/>
  <c r="E344" i="23" s="1"/>
  <c r="E345" i="23" s="1"/>
  <c r="E346" i="23" s="1"/>
  <c r="E347" i="23" s="1"/>
  <c r="E348" i="23" s="1"/>
  <c r="E349" i="23" s="1"/>
  <c r="E350" i="23" s="1"/>
  <c r="E351" i="23" s="1"/>
  <c r="D339" i="23"/>
  <c r="AF338" i="23"/>
  <c r="G338" i="23"/>
  <c r="E338" i="23"/>
  <c r="E337" i="23" s="1"/>
  <c r="E336" i="23" s="1"/>
  <c r="E335" i="23" s="1"/>
  <c r="E334" i="23" s="1"/>
  <c r="E333" i="23" s="1"/>
  <c r="E332" i="23" s="1"/>
  <c r="E331" i="23" s="1"/>
  <c r="E330" i="23" s="1"/>
  <c r="E329" i="23" s="1"/>
  <c r="E328" i="23" s="1"/>
  <c r="E327" i="23" s="1"/>
  <c r="D338" i="23"/>
  <c r="B338" i="23"/>
  <c r="B337" i="23" s="1"/>
  <c r="AF337" i="23"/>
  <c r="G337" i="23"/>
  <c r="D337" i="23"/>
  <c r="AF336" i="23"/>
  <c r="G336" i="23"/>
  <c r="D336" i="23"/>
  <c r="B336" i="23"/>
  <c r="B335" i="23" s="1"/>
  <c r="B334" i="23" s="1"/>
  <c r="B333" i="23" s="1"/>
  <c r="B332" i="23" s="1"/>
  <c r="B331" i="23" s="1"/>
  <c r="B330" i="23" s="1"/>
  <c r="B329" i="23" s="1"/>
  <c r="B328" i="23" s="1"/>
  <c r="B327" i="23" s="1"/>
  <c r="AF335" i="23"/>
  <c r="G335" i="23"/>
  <c r="D335" i="23"/>
  <c r="AF334" i="23"/>
  <c r="Z328" i="23"/>
  <c r="G334" i="23"/>
  <c r="D334" i="23"/>
  <c r="AF333" i="23"/>
  <c r="G333" i="23"/>
  <c r="D333" i="23"/>
  <c r="AF332" i="23"/>
  <c r="G332" i="23"/>
  <c r="D332" i="23"/>
  <c r="AF331" i="23"/>
  <c r="Y328" i="23"/>
  <c r="AH331" i="23" s="1"/>
  <c r="AI331" i="23" s="1"/>
  <c r="AJ331" i="23" s="1"/>
  <c r="AK331" i="23" s="1"/>
  <c r="AL331" i="23" s="1"/>
  <c r="AM331" i="23" s="1"/>
  <c r="AN331" i="23" s="1"/>
  <c r="AO331" i="23" s="1"/>
  <c r="AP331" i="23" s="1"/>
  <c r="AQ331" i="23" s="1"/>
  <c r="AR331" i="23" s="1"/>
  <c r="AS331" i="23" s="1"/>
  <c r="AT331" i="23" s="1"/>
  <c r="AU331" i="23" s="1"/>
  <c r="AV331" i="23" s="1"/>
  <c r="AW331" i="23" s="1"/>
  <c r="AX331" i="23" s="1"/>
  <c r="AY331" i="23" s="1"/>
  <c r="AZ331" i="23" s="1"/>
  <c r="BA331" i="23" s="1"/>
  <c r="BB331" i="23" s="1"/>
  <c r="BC331" i="23" s="1"/>
  <c r="BD331" i="23" s="1"/>
  <c r="BE331" i="23" s="1"/>
  <c r="BF331" i="23" s="1"/>
  <c r="BG331" i="23" s="1"/>
  <c r="BH331" i="23" s="1"/>
  <c r="BI331" i="23" s="1"/>
  <c r="BJ331" i="23" s="1"/>
  <c r="BK331" i="23" s="1"/>
  <c r="BL331" i="23" s="1"/>
  <c r="BM331" i="23" s="1"/>
  <c r="BN331" i="23" s="1"/>
  <c r="BO331" i="23" s="1"/>
  <c r="BP331" i="23" s="1"/>
  <c r="BQ331" i="23" s="1"/>
  <c r="BR331" i="23" s="1"/>
  <c r="BS331" i="23" s="1"/>
  <c r="BT331" i="23" s="1"/>
  <c r="BU331" i="23" s="1"/>
  <c r="BV331" i="23" s="1"/>
  <c r="BW331" i="23" s="1"/>
  <c r="BX331" i="23" s="1"/>
  <c r="BY331" i="23" s="1"/>
  <c r="BZ331" i="23" s="1"/>
  <c r="CA331" i="23" s="1"/>
  <c r="CB331" i="23" s="1"/>
  <c r="CC331" i="23" s="1"/>
  <c r="CD331" i="23" s="1"/>
  <c r="CE331" i="23" s="1"/>
  <c r="CF331" i="23" s="1"/>
  <c r="CG331" i="23" s="1"/>
  <c r="CH331" i="23" s="1"/>
  <c r="CI331" i="23" s="1"/>
  <c r="CJ331" i="23" s="1"/>
  <c r="CK331" i="23" s="1"/>
  <c r="CL331" i="23" s="1"/>
  <c r="CM331" i="23" s="1"/>
  <c r="CN331" i="23" s="1"/>
  <c r="CO331" i="23" s="1"/>
  <c r="CP331" i="23" s="1"/>
  <c r="G331" i="23"/>
  <c r="D331" i="23"/>
  <c r="AI330" i="23"/>
  <c r="AJ330" i="23" s="1"/>
  <c r="AK330" i="23" s="1"/>
  <c r="AL330" i="23" s="1"/>
  <c r="AM330" i="23" s="1"/>
  <c r="AN330" i="23" s="1"/>
  <c r="AO330" i="23" s="1"/>
  <c r="AP330" i="23" s="1"/>
  <c r="AQ330" i="23" s="1"/>
  <c r="AR330" i="23" s="1"/>
  <c r="AS330" i="23" s="1"/>
  <c r="AT330" i="23" s="1"/>
  <c r="AU330" i="23" s="1"/>
  <c r="AV330" i="23" s="1"/>
  <c r="AW330" i="23" s="1"/>
  <c r="AX330" i="23" s="1"/>
  <c r="AY330" i="23" s="1"/>
  <c r="AZ330" i="23" s="1"/>
  <c r="BA330" i="23" s="1"/>
  <c r="BB330" i="23" s="1"/>
  <c r="BC330" i="23" s="1"/>
  <c r="BD330" i="23" s="1"/>
  <c r="BE330" i="23" s="1"/>
  <c r="BF330" i="23" s="1"/>
  <c r="BG330" i="23" s="1"/>
  <c r="BH330" i="23" s="1"/>
  <c r="BI330" i="23" s="1"/>
  <c r="BJ330" i="23" s="1"/>
  <c r="BK330" i="23" s="1"/>
  <c r="BL330" i="23" s="1"/>
  <c r="BM330" i="23" s="1"/>
  <c r="BN330" i="23" s="1"/>
  <c r="BO330" i="23" s="1"/>
  <c r="BP330" i="23" s="1"/>
  <c r="BQ330" i="23" s="1"/>
  <c r="BR330" i="23" s="1"/>
  <c r="BS330" i="23" s="1"/>
  <c r="BT330" i="23" s="1"/>
  <c r="BU330" i="23" s="1"/>
  <c r="BV330" i="23" s="1"/>
  <c r="BW330" i="23" s="1"/>
  <c r="BX330" i="23" s="1"/>
  <c r="BY330" i="23" s="1"/>
  <c r="BZ330" i="23" s="1"/>
  <c r="CA330" i="23" s="1"/>
  <c r="CB330" i="23" s="1"/>
  <c r="CC330" i="23" s="1"/>
  <c r="CD330" i="23" s="1"/>
  <c r="CE330" i="23" s="1"/>
  <c r="CF330" i="23" s="1"/>
  <c r="CG330" i="23" s="1"/>
  <c r="CH330" i="23" s="1"/>
  <c r="CI330" i="23" s="1"/>
  <c r="CJ330" i="23" s="1"/>
  <c r="CK330" i="23" s="1"/>
  <c r="CL330" i="23" s="1"/>
  <c r="CM330" i="23" s="1"/>
  <c r="CN330" i="23" s="1"/>
  <c r="CO330" i="23" s="1"/>
  <c r="CP330" i="23" s="1"/>
  <c r="AF330" i="23"/>
  <c r="G330" i="23"/>
  <c r="D330" i="23"/>
  <c r="AF329" i="23"/>
  <c r="G329" i="23"/>
  <c r="D329" i="23"/>
  <c r="AF328" i="23"/>
  <c r="G328" i="23"/>
  <c r="D328" i="23"/>
  <c r="AF327" i="23"/>
  <c r="G327" i="23"/>
  <c r="D327" i="23"/>
  <c r="AF326" i="23"/>
  <c r="G326" i="23"/>
  <c r="D326" i="23"/>
  <c r="AF325" i="23"/>
  <c r="G325" i="23"/>
  <c r="D325" i="23"/>
  <c r="AF324" i="23"/>
  <c r="G324" i="23"/>
  <c r="D324" i="23"/>
  <c r="AF323" i="23"/>
  <c r="G323" i="23"/>
  <c r="D323" i="23"/>
  <c r="AF322" i="23"/>
  <c r="G322" i="23"/>
  <c r="D322" i="23"/>
  <c r="AF321" i="23"/>
  <c r="G321" i="23"/>
  <c r="D321" i="23"/>
  <c r="AF320" i="23"/>
  <c r="G320" i="23"/>
  <c r="D320" i="23"/>
  <c r="AF319" i="23"/>
  <c r="G319" i="23"/>
  <c r="D319" i="23"/>
  <c r="AF318" i="23"/>
  <c r="G318" i="23"/>
  <c r="D318" i="23"/>
  <c r="AF317" i="23"/>
  <c r="G317" i="23"/>
  <c r="D317" i="23"/>
  <c r="AF316" i="23"/>
  <c r="G316" i="23"/>
  <c r="D316" i="23"/>
  <c r="AF315" i="23"/>
  <c r="G315" i="23"/>
  <c r="D315" i="23"/>
  <c r="B315" i="23"/>
  <c r="B316" i="23" s="1"/>
  <c r="B317" i="23" s="1"/>
  <c r="B318" i="23" s="1"/>
  <c r="B319" i="23" s="1"/>
  <c r="B320" i="23" s="1"/>
  <c r="B321" i="23" s="1"/>
  <c r="B322" i="23" s="1"/>
  <c r="B323" i="23" s="1"/>
  <c r="B324" i="23" s="1"/>
  <c r="B325" i="23" s="1"/>
  <c r="B326" i="23" s="1"/>
  <c r="AF314" i="23"/>
  <c r="G314" i="23"/>
  <c r="E314" i="23"/>
  <c r="E315" i="23" s="1"/>
  <c r="E316" i="23" s="1"/>
  <c r="E317" i="23" s="1"/>
  <c r="E318" i="23" s="1"/>
  <c r="E319" i="23" s="1"/>
  <c r="E320" i="23" s="1"/>
  <c r="E321" i="23" s="1"/>
  <c r="E322" i="23" s="1"/>
  <c r="E323" i="23" s="1"/>
  <c r="E324" i="23" s="1"/>
  <c r="E325" i="23" s="1"/>
  <c r="E326" i="23" s="1"/>
  <c r="D314" i="23"/>
  <c r="AF313" i="23"/>
  <c r="G313" i="23"/>
  <c r="E313" i="23"/>
  <c r="E312" i="23" s="1"/>
  <c r="D313" i="23"/>
  <c r="B313" i="23"/>
  <c r="B312" i="23" s="1"/>
  <c r="AF312" i="23"/>
  <c r="G312" i="23"/>
  <c r="D312" i="23"/>
  <c r="AF311" i="23"/>
  <c r="G311" i="23"/>
  <c r="E311" i="23"/>
  <c r="E310" i="23" s="1"/>
  <c r="E309" i="23" s="1"/>
  <c r="E308" i="23" s="1"/>
  <c r="E307" i="23" s="1"/>
  <c r="E306" i="23" s="1"/>
  <c r="E305" i="23" s="1"/>
  <c r="E304" i="23" s="1"/>
  <c r="E303" i="23" s="1"/>
  <c r="E302" i="23" s="1"/>
  <c r="D311" i="23"/>
  <c r="B311" i="23"/>
  <c r="B310" i="23" s="1"/>
  <c r="B309" i="23" s="1"/>
  <c r="B308" i="23" s="1"/>
  <c r="B307" i="23" s="1"/>
  <c r="B306" i="23" s="1"/>
  <c r="B305" i="23" s="1"/>
  <c r="B304" i="23" s="1"/>
  <c r="B303" i="23" s="1"/>
  <c r="B302" i="23" s="1"/>
  <c r="AF310" i="23"/>
  <c r="G310" i="23"/>
  <c r="D310" i="23"/>
  <c r="AF309" i="23"/>
  <c r="G309" i="23"/>
  <c r="D309" i="23"/>
  <c r="AF308" i="23"/>
  <c r="Z303" i="23"/>
  <c r="G308" i="23"/>
  <c r="D308" i="23"/>
  <c r="AF307" i="23"/>
  <c r="G307" i="23"/>
  <c r="D307" i="23"/>
  <c r="AF306" i="23"/>
  <c r="G306" i="23"/>
  <c r="D306" i="23"/>
  <c r="AF305" i="23"/>
  <c r="Y303" i="23"/>
  <c r="AA303" i="23" s="1"/>
  <c r="G305" i="23"/>
  <c r="D305" i="23"/>
  <c r="AI304" i="23"/>
  <c r="AJ304" i="23" s="1"/>
  <c r="AK304" i="23" s="1"/>
  <c r="AL304" i="23" s="1"/>
  <c r="AM304" i="23" s="1"/>
  <c r="AN304" i="23" s="1"/>
  <c r="AO304" i="23" s="1"/>
  <c r="AP304" i="23" s="1"/>
  <c r="AQ304" i="23" s="1"/>
  <c r="AR304" i="23" s="1"/>
  <c r="AS304" i="23" s="1"/>
  <c r="AT304" i="23" s="1"/>
  <c r="AU304" i="23" s="1"/>
  <c r="AV304" i="23" s="1"/>
  <c r="AW304" i="23" s="1"/>
  <c r="AX304" i="23" s="1"/>
  <c r="AY304" i="23" s="1"/>
  <c r="AZ304" i="23" s="1"/>
  <c r="BA304" i="23" s="1"/>
  <c r="BB304" i="23" s="1"/>
  <c r="BC304" i="23" s="1"/>
  <c r="BD304" i="23" s="1"/>
  <c r="BE304" i="23" s="1"/>
  <c r="BF304" i="23" s="1"/>
  <c r="BG304" i="23" s="1"/>
  <c r="BH304" i="23" s="1"/>
  <c r="BI304" i="23" s="1"/>
  <c r="BJ304" i="23" s="1"/>
  <c r="BK304" i="23" s="1"/>
  <c r="BL304" i="23" s="1"/>
  <c r="BM304" i="23" s="1"/>
  <c r="BN304" i="23" s="1"/>
  <c r="BO304" i="23" s="1"/>
  <c r="BP304" i="23" s="1"/>
  <c r="BQ304" i="23" s="1"/>
  <c r="BR304" i="23" s="1"/>
  <c r="BS304" i="23" s="1"/>
  <c r="BT304" i="23" s="1"/>
  <c r="BU304" i="23" s="1"/>
  <c r="BV304" i="23" s="1"/>
  <c r="BW304" i="23" s="1"/>
  <c r="BX304" i="23" s="1"/>
  <c r="BY304" i="23" s="1"/>
  <c r="BZ304" i="23" s="1"/>
  <c r="CA304" i="23" s="1"/>
  <c r="CB304" i="23" s="1"/>
  <c r="CC304" i="23" s="1"/>
  <c r="CD304" i="23" s="1"/>
  <c r="CE304" i="23" s="1"/>
  <c r="CF304" i="23" s="1"/>
  <c r="CG304" i="23" s="1"/>
  <c r="CH304" i="23" s="1"/>
  <c r="CI304" i="23" s="1"/>
  <c r="CJ304" i="23" s="1"/>
  <c r="CK304" i="23" s="1"/>
  <c r="CL304" i="23" s="1"/>
  <c r="CM304" i="23" s="1"/>
  <c r="CN304" i="23" s="1"/>
  <c r="CO304" i="23" s="1"/>
  <c r="CP304" i="23" s="1"/>
  <c r="AF304" i="23"/>
  <c r="G304" i="23"/>
  <c r="D304" i="23"/>
  <c r="AF303" i="23"/>
  <c r="G303" i="23"/>
  <c r="D303" i="23"/>
  <c r="AF302" i="23"/>
  <c r="G302" i="23"/>
  <c r="D302" i="23"/>
  <c r="AF301" i="23"/>
  <c r="G301" i="23"/>
  <c r="D301" i="23"/>
  <c r="AF300" i="23"/>
  <c r="G300" i="23"/>
  <c r="D300" i="23"/>
  <c r="AF299" i="23"/>
  <c r="G299" i="23"/>
  <c r="D299" i="23"/>
  <c r="AF298" i="23"/>
  <c r="G298" i="23"/>
  <c r="D298" i="23"/>
  <c r="AF297" i="23"/>
  <c r="G297" i="23"/>
  <c r="D297" i="23"/>
  <c r="AF296" i="23"/>
  <c r="G296" i="23"/>
  <c r="D296" i="23"/>
  <c r="AF295" i="23"/>
  <c r="G295" i="23"/>
  <c r="D295" i="23"/>
  <c r="AF294" i="23"/>
  <c r="G294" i="23"/>
  <c r="D294" i="23"/>
  <c r="AF293" i="23"/>
  <c r="G293" i="23"/>
  <c r="D293" i="23"/>
  <c r="AF292" i="23"/>
  <c r="G292" i="23"/>
  <c r="D292" i="23"/>
  <c r="AF291" i="23"/>
  <c r="G291" i="23"/>
  <c r="D291" i="23"/>
  <c r="AF290" i="23"/>
  <c r="G290" i="23"/>
  <c r="D290" i="23"/>
  <c r="B290" i="23"/>
  <c r="B291" i="23" s="1"/>
  <c r="B292" i="23" s="1"/>
  <c r="B293" i="23" s="1"/>
  <c r="B294" i="23" s="1"/>
  <c r="B295" i="23" s="1"/>
  <c r="B296" i="23" s="1"/>
  <c r="B297" i="23" s="1"/>
  <c r="B298" i="23" s="1"/>
  <c r="B299" i="23" s="1"/>
  <c r="B300" i="23" s="1"/>
  <c r="B301" i="23" s="1"/>
  <c r="AF289" i="23"/>
  <c r="G289" i="23"/>
  <c r="E289" i="23"/>
  <c r="E290" i="23" s="1"/>
  <c r="E291" i="23" s="1"/>
  <c r="E292" i="23" s="1"/>
  <c r="E293" i="23" s="1"/>
  <c r="E294" i="23" s="1"/>
  <c r="E295" i="23" s="1"/>
  <c r="E296" i="23" s="1"/>
  <c r="E297" i="23" s="1"/>
  <c r="E298" i="23" s="1"/>
  <c r="E299" i="23" s="1"/>
  <c r="E300" i="23" s="1"/>
  <c r="E301" i="23" s="1"/>
  <c r="D289" i="23"/>
  <c r="AF288" i="23"/>
  <c r="G288" i="23"/>
  <c r="E288" i="23"/>
  <c r="E287" i="23" s="1"/>
  <c r="E286" i="23" s="1"/>
  <c r="E285" i="23" s="1"/>
  <c r="E284" i="23" s="1"/>
  <c r="E283" i="23" s="1"/>
  <c r="E282" i="23" s="1"/>
  <c r="E281" i="23" s="1"/>
  <c r="E280" i="23" s="1"/>
  <c r="E279" i="23" s="1"/>
  <c r="E278" i="23" s="1"/>
  <c r="E277" i="23" s="1"/>
  <c r="D288" i="23"/>
  <c r="B288" i="23"/>
  <c r="B287" i="23" s="1"/>
  <c r="B286" i="23" s="1"/>
  <c r="B285" i="23" s="1"/>
  <c r="B284" i="23" s="1"/>
  <c r="B283" i="23" s="1"/>
  <c r="B282" i="23" s="1"/>
  <c r="B281" i="23" s="1"/>
  <c r="B280" i="23" s="1"/>
  <c r="B279" i="23" s="1"/>
  <c r="B278" i="23" s="1"/>
  <c r="B277" i="23" s="1"/>
  <c r="AF287" i="23"/>
  <c r="G287" i="23"/>
  <c r="D287" i="23"/>
  <c r="AF286" i="23"/>
  <c r="G286" i="23"/>
  <c r="D286" i="23"/>
  <c r="AF285" i="23"/>
  <c r="G285" i="23"/>
  <c r="D285" i="23"/>
  <c r="AF284" i="23"/>
  <c r="G284" i="23"/>
  <c r="D284" i="23"/>
  <c r="AF283" i="23"/>
  <c r="Z278" i="23"/>
  <c r="G283" i="23"/>
  <c r="D283" i="23"/>
  <c r="AF282" i="23"/>
  <c r="G282" i="23"/>
  <c r="D282" i="23"/>
  <c r="AF281" i="23"/>
  <c r="G281" i="23"/>
  <c r="D281" i="23"/>
  <c r="AF280" i="23"/>
  <c r="Y278" i="23"/>
  <c r="AH280" i="23" s="1"/>
  <c r="AI280" i="23" s="1"/>
  <c r="AJ280" i="23" s="1"/>
  <c r="AK280" i="23" s="1"/>
  <c r="AL280" i="23" s="1"/>
  <c r="AM280" i="23" s="1"/>
  <c r="AN280" i="23" s="1"/>
  <c r="AO280" i="23" s="1"/>
  <c r="AP280" i="23" s="1"/>
  <c r="AQ280" i="23" s="1"/>
  <c r="AR280" i="23" s="1"/>
  <c r="AS280" i="23" s="1"/>
  <c r="AT280" i="23" s="1"/>
  <c r="AU280" i="23" s="1"/>
  <c r="AV280" i="23" s="1"/>
  <c r="AW280" i="23" s="1"/>
  <c r="AX280" i="23" s="1"/>
  <c r="AY280" i="23" s="1"/>
  <c r="AZ280" i="23" s="1"/>
  <c r="BA280" i="23" s="1"/>
  <c r="BB280" i="23" s="1"/>
  <c r="BC280" i="23" s="1"/>
  <c r="BD280" i="23" s="1"/>
  <c r="BE280" i="23" s="1"/>
  <c r="BF280" i="23" s="1"/>
  <c r="BG280" i="23" s="1"/>
  <c r="BH280" i="23" s="1"/>
  <c r="BI280" i="23" s="1"/>
  <c r="BJ280" i="23" s="1"/>
  <c r="BK280" i="23" s="1"/>
  <c r="BL280" i="23" s="1"/>
  <c r="BM280" i="23" s="1"/>
  <c r="BN280" i="23" s="1"/>
  <c r="BO280" i="23" s="1"/>
  <c r="BP280" i="23" s="1"/>
  <c r="BQ280" i="23" s="1"/>
  <c r="BR280" i="23" s="1"/>
  <c r="BS280" i="23" s="1"/>
  <c r="BT280" i="23" s="1"/>
  <c r="BU280" i="23" s="1"/>
  <c r="BV280" i="23" s="1"/>
  <c r="BW280" i="23" s="1"/>
  <c r="BX280" i="23" s="1"/>
  <c r="BY280" i="23" s="1"/>
  <c r="BZ280" i="23" s="1"/>
  <c r="CA280" i="23" s="1"/>
  <c r="CB280" i="23" s="1"/>
  <c r="CC280" i="23" s="1"/>
  <c r="CD280" i="23" s="1"/>
  <c r="CE280" i="23" s="1"/>
  <c r="CF280" i="23" s="1"/>
  <c r="CG280" i="23" s="1"/>
  <c r="CH280" i="23" s="1"/>
  <c r="CI280" i="23" s="1"/>
  <c r="CJ280" i="23" s="1"/>
  <c r="CK280" i="23" s="1"/>
  <c r="CL280" i="23" s="1"/>
  <c r="CM280" i="23" s="1"/>
  <c r="CN280" i="23" s="1"/>
  <c r="CO280" i="23" s="1"/>
  <c r="CP280" i="23" s="1"/>
  <c r="G280" i="23"/>
  <c r="D280" i="23"/>
  <c r="AI279" i="23"/>
  <c r="AJ279" i="23" s="1"/>
  <c r="AK279" i="23" s="1"/>
  <c r="AL279" i="23" s="1"/>
  <c r="AM279" i="23" s="1"/>
  <c r="AN279" i="23" s="1"/>
  <c r="AO279" i="23" s="1"/>
  <c r="AP279" i="23" s="1"/>
  <c r="AQ279" i="23" s="1"/>
  <c r="AR279" i="23" s="1"/>
  <c r="AS279" i="23" s="1"/>
  <c r="AT279" i="23" s="1"/>
  <c r="AU279" i="23" s="1"/>
  <c r="AV279" i="23" s="1"/>
  <c r="AW279" i="23" s="1"/>
  <c r="AX279" i="23" s="1"/>
  <c r="AY279" i="23" s="1"/>
  <c r="AZ279" i="23" s="1"/>
  <c r="BA279" i="23" s="1"/>
  <c r="BB279" i="23" s="1"/>
  <c r="BC279" i="23" s="1"/>
  <c r="BD279" i="23" s="1"/>
  <c r="BE279" i="23" s="1"/>
  <c r="BF279" i="23" s="1"/>
  <c r="BG279" i="23" s="1"/>
  <c r="BH279" i="23" s="1"/>
  <c r="BI279" i="23" s="1"/>
  <c r="BJ279" i="23" s="1"/>
  <c r="BK279" i="23" s="1"/>
  <c r="BL279" i="23" s="1"/>
  <c r="BM279" i="23" s="1"/>
  <c r="BN279" i="23" s="1"/>
  <c r="BO279" i="23" s="1"/>
  <c r="BP279" i="23" s="1"/>
  <c r="BQ279" i="23" s="1"/>
  <c r="BR279" i="23" s="1"/>
  <c r="BS279" i="23" s="1"/>
  <c r="BT279" i="23" s="1"/>
  <c r="BU279" i="23" s="1"/>
  <c r="BV279" i="23" s="1"/>
  <c r="BW279" i="23" s="1"/>
  <c r="BX279" i="23" s="1"/>
  <c r="BY279" i="23" s="1"/>
  <c r="BZ279" i="23" s="1"/>
  <c r="CA279" i="23" s="1"/>
  <c r="CB279" i="23" s="1"/>
  <c r="CC279" i="23" s="1"/>
  <c r="CD279" i="23" s="1"/>
  <c r="CE279" i="23" s="1"/>
  <c r="CF279" i="23" s="1"/>
  <c r="CG279" i="23" s="1"/>
  <c r="CH279" i="23" s="1"/>
  <c r="CI279" i="23" s="1"/>
  <c r="CJ279" i="23" s="1"/>
  <c r="CK279" i="23" s="1"/>
  <c r="CL279" i="23" s="1"/>
  <c r="CM279" i="23" s="1"/>
  <c r="CN279" i="23" s="1"/>
  <c r="CO279" i="23" s="1"/>
  <c r="CP279" i="23" s="1"/>
  <c r="AF279" i="23"/>
  <c r="G279" i="23"/>
  <c r="D279" i="23"/>
  <c r="AF278" i="23"/>
  <c r="G278" i="23"/>
  <c r="D278" i="23"/>
  <c r="AF277" i="23"/>
  <c r="G277" i="23"/>
  <c r="D277" i="23"/>
  <c r="AF276" i="23"/>
  <c r="G276" i="23"/>
  <c r="D276" i="23"/>
  <c r="AF275" i="23"/>
  <c r="G275" i="23"/>
  <c r="D275" i="23"/>
  <c r="AF274" i="23"/>
  <c r="G274" i="23"/>
  <c r="D274" i="23"/>
  <c r="AF273" i="23"/>
  <c r="G273" i="23"/>
  <c r="D273" i="23"/>
  <c r="AF272" i="23"/>
  <c r="G272" i="23"/>
  <c r="D272" i="23"/>
  <c r="AF271" i="23"/>
  <c r="G271" i="23"/>
  <c r="D271" i="23"/>
  <c r="AF270" i="23"/>
  <c r="G270" i="23"/>
  <c r="D270" i="23"/>
  <c r="AF269" i="23"/>
  <c r="G269" i="23"/>
  <c r="D269" i="23"/>
  <c r="AF268" i="23"/>
  <c r="G268" i="23"/>
  <c r="D268" i="23"/>
  <c r="AF267" i="23"/>
  <c r="G267" i="23"/>
  <c r="D267" i="23"/>
  <c r="AF266" i="23"/>
  <c r="G266" i="23"/>
  <c r="D266" i="23"/>
  <c r="AF265" i="23"/>
  <c r="G265" i="23"/>
  <c r="E265" i="23"/>
  <c r="E266" i="23" s="1"/>
  <c r="E267" i="23" s="1"/>
  <c r="E268" i="23" s="1"/>
  <c r="E269" i="23" s="1"/>
  <c r="E270" i="23" s="1"/>
  <c r="E271" i="23" s="1"/>
  <c r="E272" i="23" s="1"/>
  <c r="E273" i="23" s="1"/>
  <c r="E274" i="23" s="1"/>
  <c r="E275" i="23" s="1"/>
  <c r="E276" i="23" s="1"/>
  <c r="D265" i="23"/>
  <c r="B265" i="23"/>
  <c r="B266" i="23" s="1"/>
  <c r="B267" i="23" s="1"/>
  <c r="B268" i="23" s="1"/>
  <c r="B269" i="23" s="1"/>
  <c r="B270" i="23" s="1"/>
  <c r="B271" i="23" s="1"/>
  <c r="B272" i="23" s="1"/>
  <c r="B273" i="23" s="1"/>
  <c r="B274" i="23" s="1"/>
  <c r="B275" i="23" s="1"/>
  <c r="B276" i="23" s="1"/>
  <c r="AF264" i="23"/>
  <c r="G264" i="23"/>
  <c r="D264" i="23"/>
  <c r="AF263" i="23"/>
  <c r="G263" i="23"/>
  <c r="E263" i="23"/>
  <c r="E262" i="23" s="1"/>
  <c r="E261" i="23" s="1"/>
  <c r="E260" i="23" s="1"/>
  <c r="E259" i="23" s="1"/>
  <c r="E258" i="23" s="1"/>
  <c r="E257" i="23" s="1"/>
  <c r="E256" i="23" s="1"/>
  <c r="E255" i="23" s="1"/>
  <c r="E254" i="23" s="1"/>
  <c r="E253" i="23" s="1"/>
  <c r="E252" i="23" s="1"/>
  <c r="D263" i="23"/>
  <c r="B263" i="23"/>
  <c r="B262" i="23" s="1"/>
  <c r="AF262" i="23"/>
  <c r="G262" i="23"/>
  <c r="D262" i="23"/>
  <c r="AF261" i="23"/>
  <c r="G261" i="23"/>
  <c r="D261" i="23"/>
  <c r="B261" i="23"/>
  <c r="B260" i="23" s="1"/>
  <c r="B259" i="23" s="1"/>
  <c r="B258" i="23" s="1"/>
  <c r="B257" i="23" s="1"/>
  <c r="B256" i="23" s="1"/>
  <c r="B255" i="23" s="1"/>
  <c r="B254" i="23" s="1"/>
  <c r="B253" i="23" s="1"/>
  <c r="B252" i="23" s="1"/>
  <c r="AF260" i="23"/>
  <c r="G260" i="23"/>
  <c r="D260" i="23"/>
  <c r="AF259" i="23"/>
  <c r="G259" i="23"/>
  <c r="D259" i="23"/>
  <c r="AF258" i="23"/>
  <c r="Z253" i="23"/>
  <c r="G258" i="23"/>
  <c r="D258" i="23"/>
  <c r="AF257" i="23"/>
  <c r="G257" i="23"/>
  <c r="D257" i="23"/>
  <c r="AF256" i="23"/>
  <c r="G256" i="23"/>
  <c r="D256" i="23"/>
  <c r="AF255" i="23"/>
  <c r="Y253" i="23"/>
  <c r="AA253" i="23" s="1"/>
  <c r="G255" i="23"/>
  <c r="D255" i="23"/>
  <c r="AI254" i="23"/>
  <c r="AJ254" i="23" s="1"/>
  <c r="AK254" i="23" s="1"/>
  <c r="AL254" i="23" s="1"/>
  <c r="AM254" i="23" s="1"/>
  <c r="AN254" i="23" s="1"/>
  <c r="AO254" i="23" s="1"/>
  <c r="AP254" i="23" s="1"/>
  <c r="AQ254" i="23" s="1"/>
  <c r="AR254" i="23" s="1"/>
  <c r="AS254" i="23" s="1"/>
  <c r="AT254" i="23" s="1"/>
  <c r="AU254" i="23" s="1"/>
  <c r="AV254" i="23" s="1"/>
  <c r="AW254" i="23" s="1"/>
  <c r="AX254" i="23" s="1"/>
  <c r="AY254" i="23" s="1"/>
  <c r="AZ254" i="23" s="1"/>
  <c r="BA254" i="23" s="1"/>
  <c r="BB254" i="23" s="1"/>
  <c r="BC254" i="23" s="1"/>
  <c r="BD254" i="23" s="1"/>
  <c r="BE254" i="23" s="1"/>
  <c r="BF254" i="23" s="1"/>
  <c r="BG254" i="23" s="1"/>
  <c r="BH254" i="23" s="1"/>
  <c r="BI254" i="23" s="1"/>
  <c r="BJ254" i="23" s="1"/>
  <c r="BK254" i="23" s="1"/>
  <c r="BL254" i="23" s="1"/>
  <c r="BM254" i="23" s="1"/>
  <c r="BN254" i="23" s="1"/>
  <c r="BO254" i="23" s="1"/>
  <c r="BP254" i="23" s="1"/>
  <c r="BQ254" i="23" s="1"/>
  <c r="BR254" i="23" s="1"/>
  <c r="BS254" i="23" s="1"/>
  <c r="BT254" i="23" s="1"/>
  <c r="BU254" i="23" s="1"/>
  <c r="BV254" i="23" s="1"/>
  <c r="BW254" i="23" s="1"/>
  <c r="BX254" i="23" s="1"/>
  <c r="BY254" i="23" s="1"/>
  <c r="BZ254" i="23" s="1"/>
  <c r="CA254" i="23" s="1"/>
  <c r="CB254" i="23" s="1"/>
  <c r="CC254" i="23" s="1"/>
  <c r="CD254" i="23" s="1"/>
  <c r="CE254" i="23" s="1"/>
  <c r="CF254" i="23" s="1"/>
  <c r="CG254" i="23" s="1"/>
  <c r="CH254" i="23" s="1"/>
  <c r="CI254" i="23" s="1"/>
  <c r="CJ254" i="23" s="1"/>
  <c r="CK254" i="23" s="1"/>
  <c r="CL254" i="23" s="1"/>
  <c r="CM254" i="23" s="1"/>
  <c r="CN254" i="23" s="1"/>
  <c r="CO254" i="23" s="1"/>
  <c r="CP254" i="23" s="1"/>
  <c r="AF254" i="23"/>
  <c r="G254" i="23"/>
  <c r="D254" i="23"/>
  <c r="AF253" i="23"/>
  <c r="G253" i="23"/>
  <c r="D253" i="23"/>
  <c r="AF252" i="23"/>
  <c r="G252" i="23"/>
  <c r="D252" i="23"/>
  <c r="AF251" i="23"/>
  <c r="G251" i="23"/>
  <c r="D251" i="23"/>
  <c r="AF250" i="23"/>
  <c r="G250" i="23"/>
  <c r="D250" i="23"/>
  <c r="AF249" i="23"/>
  <c r="G249" i="23"/>
  <c r="D249" i="23"/>
  <c r="AF248" i="23"/>
  <c r="G248" i="23"/>
  <c r="D248" i="23"/>
  <c r="AF247" i="23"/>
  <c r="G247" i="23"/>
  <c r="D247" i="23"/>
  <c r="AF246" i="23"/>
  <c r="G246" i="23"/>
  <c r="D246" i="23"/>
  <c r="AF245" i="23"/>
  <c r="G245" i="23"/>
  <c r="D245" i="23"/>
  <c r="AF244" i="23"/>
  <c r="G244" i="23"/>
  <c r="D244" i="23"/>
  <c r="AF243" i="23"/>
  <c r="G243" i="23"/>
  <c r="D243" i="23"/>
  <c r="AF242" i="23"/>
  <c r="G242" i="23"/>
  <c r="D242" i="23"/>
  <c r="AF241" i="23"/>
  <c r="G241" i="23"/>
  <c r="D241" i="23"/>
  <c r="AF240" i="23"/>
  <c r="G240" i="23"/>
  <c r="E240" i="23"/>
  <c r="E241" i="23" s="1"/>
  <c r="E242" i="23" s="1"/>
  <c r="E243" i="23" s="1"/>
  <c r="E244" i="23" s="1"/>
  <c r="E245" i="23" s="1"/>
  <c r="E246" i="23" s="1"/>
  <c r="E247" i="23" s="1"/>
  <c r="E248" i="23" s="1"/>
  <c r="E249" i="23" s="1"/>
  <c r="E250" i="23" s="1"/>
  <c r="E251" i="23" s="1"/>
  <c r="D240" i="23"/>
  <c r="B240" i="23"/>
  <c r="B241" i="23" s="1"/>
  <c r="B242" i="23" s="1"/>
  <c r="B243" i="23" s="1"/>
  <c r="B244" i="23" s="1"/>
  <c r="B245" i="23" s="1"/>
  <c r="B246" i="23" s="1"/>
  <c r="B247" i="23" s="1"/>
  <c r="B248" i="23" s="1"/>
  <c r="B249" i="23" s="1"/>
  <c r="B250" i="23" s="1"/>
  <c r="B251" i="23" s="1"/>
  <c r="AF239" i="23"/>
  <c r="G239" i="23"/>
  <c r="D239" i="23"/>
  <c r="AF238" i="23"/>
  <c r="G238" i="23"/>
  <c r="E238" i="23"/>
  <c r="E237" i="23" s="1"/>
  <c r="D238" i="23"/>
  <c r="B238" i="23"/>
  <c r="B237" i="23" s="1"/>
  <c r="B236" i="23" s="1"/>
  <c r="B235" i="23" s="1"/>
  <c r="B234" i="23" s="1"/>
  <c r="B233" i="23" s="1"/>
  <c r="B232" i="23" s="1"/>
  <c r="B231" i="23" s="1"/>
  <c r="B230" i="23" s="1"/>
  <c r="B229" i="23" s="1"/>
  <c r="B228" i="23" s="1"/>
  <c r="B227" i="23" s="1"/>
  <c r="AF237" i="23"/>
  <c r="G237" i="23"/>
  <c r="D237" i="23"/>
  <c r="AF236" i="23"/>
  <c r="G236" i="23"/>
  <c r="E236" i="23"/>
  <c r="E235" i="23" s="1"/>
  <c r="E234" i="23" s="1"/>
  <c r="E233" i="23" s="1"/>
  <c r="E232" i="23" s="1"/>
  <c r="E231" i="23" s="1"/>
  <c r="E230" i="23" s="1"/>
  <c r="E229" i="23" s="1"/>
  <c r="E228" i="23" s="1"/>
  <c r="E227" i="23" s="1"/>
  <c r="D236" i="23"/>
  <c r="AF235" i="23"/>
  <c r="G235" i="23"/>
  <c r="D235" i="23"/>
  <c r="AF234" i="23"/>
  <c r="G234" i="23"/>
  <c r="D234" i="23"/>
  <c r="AF233" i="23"/>
  <c r="Z228" i="23"/>
  <c r="G233" i="23"/>
  <c r="D233" i="23"/>
  <c r="AF232" i="23"/>
  <c r="G232" i="23"/>
  <c r="D232" i="23"/>
  <c r="AF231" i="23"/>
  <c r="G231" i="23"/>
  <c r="D231" i="23"/>
  <c r="AF230" i="23"/>
  <c r="Y228" i="23"/>
  <c r="AA228" i="23" s="1"/>
  <c r="G230" i="23"/>
  <c r="D230" i="23"/>
  <c r="AI229" i="23"/>
  <c r="AJ229" i="23" s="1"/>
  <c r="AK229" i="23" s="1"/>
  <c r="AL229" i="23" s="1"/>
  <c r="AM229" i="23" s="1"/>
  <c r="AN229" i="23" s="1"/>
  <c r="AO229" i="23" s="1"/>
  <c r="AP229" i="23" s="1"/>
  <c r="AQ229" i="23" s="1"/>
  <c r="AR229" i="23" s="1"/>
  <c r="AS229" i="23" s="1"/>
  <c r="AT229" i="23" s="1"/>
  <c r="AU229" i="23" s="1"/>
  <c r="AV229" i="23" s="1"/>
  <c r="AW229" i="23" s="1"/>
  <c r="AX229" i="23" s="1"/>
  <c r="AY229" i="23" s="1"/>
  <c r="AZ229" i="23" s="1"/>
  <c r="BA229" i="23" s="1"/>
  <c r="BB229" i="23" s="1"/>
  <c r="BC229" i="23" s="1"/>
  <c r="BD229" i="23" s="1"/>
  <c r="BE229" i="23" s="1"/>
  <c r="BF229" i="23" s="1"/>
  <c r="BG229" i="23" s="1"/>
  <c r="BH229" i="23" s="1"/>
  <c r="BI229" i="23" s="1"/>
  <c r="BJ229" i="23" s="1"/>
  <c r="BK229" i="23" s="1"/>
  <c r="BL229" i="23" s="1"/>
  <c r="BM229" i="23" s="1"/>
  <c r="BN229" i="23" s="1"/>
  <c r="BO229" i="23" s="1"/>
  <c r="BP229" i="23" s="1"/>
  <c r="BQ229" i="23" s="1"/>
  <c r="BR229" i="23" s="1"/>
  <c r="BS229" i="23" s="1"/>
  <c r="BT229" i="23" s="1"/>
  <c r="BU229" i="23" s="1"/>
  <c r="BV229" i="23" s="1"/>
  <c r="BW229" i="23" s="1"/>
  <c r="BX229" i="23" s="1"/>
  <c r="BY229" i="23" s="1"/>
  <c r="BZ229" i="23" s="1"/>
  <c r="CA229" i="23" s="1"/>
  <c r="CB229" i="23" s="1"/>
  <c r="CC229" i="23" s="1"/>
  <c r="CD229" i="23" s="1"/>
  <c r="CE229" i="23" s="1"/>
  <c r="CF229" i="23" s="1"/>
  <c r="CG229" i="23" s="1"/>
  <c r="CH229" i="23" s="1"/>
  <c r="CI229" i="23" s="1"/>
  <c r="CJ229" i="23" s="1"/>
  <c r="CK229" i="23" s="1"/>
  <c r="CL229" i="23" s="1"/>
  <c r="CM229" i="23" s="1"/>
  <c r="CN229" i="23" s="1"/>
  <c r="CO229" i="23" s="1"/>
  <c r="CP229" i="23" s="1"/>
  <c r="AF229" i="23"/>
  <c r="G229" i="23"/>
  <c r="D229" i="23"/>
  <c r="AF228" i="23"/>
  <c r="G228" i="23"/>
  <c r="D228" i="23"/>
  <c r="AF227" i="23"/>
  <c r="G227" i="23"/>
  <c r="D227" i="23"/>
  <c r="AF226" i="23"/>
  <c r="G226" i="23"/>
  <c r="D226" i="23"/>
  <c r="AF225" i="23"/>
  <c r="G225" i="23"/>
  <c r="D225" i="23"/>
  <c r="AF224" i="23"/>
  <c r="G224" i="23"/>
  <c r="D224" i="23"/>
  <c r="AF223" i="23"/>
  <c r="G223" i="23"/>
  <c r="D223" i="23"/>
  <c r="AF222" i="23"/>
  <c r="G222" i="23"/>
  <c r="D222" i="23"/>
  <c r="AF221" i="23"/>
  <c r="D221" i="23"/>
  <c r="AF220" i="23"/>
  <c r="D220" i="23"/>
  <c r="AF219" i="23"/>
  <c r="D219" i="23"/>
  <c r="AF218" i="23"/>
  <c r="D218" i="23"/>
  <c r="AF217" i="23"/>
  <c r="D217" i="23"/>
  <c r="AF216" i="23"/>
  <c r="D216" i="23"/>
  <c r="AF215" i="23"/>
  <c r="D215" i="23"/>
  <c r="AF214" i="23"/>
  <c r="E214" i="23"/>
  <c r="E213" i="23" s="1"/>
  <c r="E212" i="23" s="1"/>
  <c r="E211" i="23" s="1"/>
  <c r="E210" i="23" s="1"/>
  <c r="E209" i="23" s="1"/>
  <c r="E208" i="23" s="1"/>
  <c r="E207" i="23" s="1"/>
  <c r="E206" i="23" s="1"/>
  <c r="E205" i="23" s="1"/>
  <c r="E204" i="23" s="1"/>
  <c r="E203" i="23" s="1"/>
  <c r="E202" i="23" s="1"/>
  <c r="D214" i="23"/>
  <c r="B214" i="23"/>
  <c r="B215" i="23" s="1"/>
  <c r="B216" i="23" s="1"/>
  <c r="B217" i="23" s="1"/>
  <c r="B218" i="23" s="1"/>
  <c r="B219" i="23" s="1"/>
  <c r="B220" i="23" s="1"/>
  <c r="B221" i="23" s="1"/>
  <c r="B222" i="23" s="1"/>
  <c r="B223" i="23" s="1"/>
  <c r="B224" i="23" s="1"/>
  <c r="B225" i="23" s="1"/>
  <c r="B226" i="23" s="1"/>
  <c r="AF213" i="23"/>
  <c r="D213" i="23"/>
  <c r="AF212" i="23"/>
  <c r="D212" i="23"/>
  <c r="AF211" i="23"/>
  <c r="D211" i="23"/>
  <c r="AF210" i="23"/>
  <c r="D210" i="23"/>
  <c r="AF209" i="23"/>
  <c r="AA203" i="23"/>
  <c r="D209" i="23"/>
  <c r="AF208" i="23"/>
  <c r="Z203" i="23"/>
  <c r="D208" i="23"/>
  <c r="AF207" i="23"/>
  <c r="G207" i="23"/>
  <c r="D207" i="23"/>
  <c r="AF206" i="23"/>
  <c r="G206" i="23"/>
  <c r="D206" i="23"/>
  <c r="AF205" i="23"/>
  <c r="G205" i="23"/>
  <c r="D205" i="23"/>
  <c r="AI204" i="23"/>
  <c r="AJ204" i="23" s="1"/>
  <c r="AK204" i="23" s="1"/>
  <c r="AL204" i="23" s="1"/>
  <c r="AM204" i="23" s="1"/>
  <c r="AN204" i="23" s="1"/>
  <c r="AO204" i="23" s="1"/>
  <c r="AP204" i="23" s="1"/>
  <c r="AQ204" i="23" s="1"/>
  <c r="AR204" i="23" s="1"/>
  <c r="AS204" i="23" s="1"/>
  <c r="AT204" i="23" s="1"/>
  <c r="AU204" i="23" s="1"/>
  <c r="AV204" i="23" s="1"/>
  <c r="AW204" i="23" s="1"/>
  <c r="AX204" i="23" s="1"/>
  <c r="AY204" i="23" s="1"/>
  <c r="AZ204" i="23" s="1"/>
  <c r="BA204" i="23" s="1"/>
  <c r="BB204" i="23" s="1"/>
  <c r="BC204" i="23" s="1"/>
  <c r="BD204" i="23" s="1"/>
  <c r="BE204" i="23" s="1"/>
  <c r="BF204" i="23" s="1"/>
  <c r="BG204" i="23" s="1"/>
  <c r="BH204" i="23" s="1"/>
  <c r="BI204" i="23" s="1"/>
  <c r="BJ204" i="23" s="1"/>
  <c r="BK204" i="23" s="1"/>
  <c r="BL204" i="23" s="1"/>
  <c r="BM204" i="23" s="1"/>
  <c r="BN204" i="23" s="1"/>
  <c r="BO204" i="23" s="1"/>
  <c r="BP204" i="23" s="1"/>
  <c r="BQ204" i="23" s="1"/>
  <c r="BR204" i="23" s="1"/>
  <c r="BS204" i="23" s="1"/>
  <c r="BT204" i="23" s="1"/>
  <c r="BU204" i="23" s="1"/>
  <c r="BV204" i="23" s="1"/>
  <c r="BW204" i="23" s="1"/>
  <c r="BX204" i="23" s="1"/>
  <c r="BY204" i="23" s="1"/>
  <c r="BZ204" i="23" s="1"/>
  <c r="CA204" i="23" s="1"/>
  <c r="CB204" i="23" s="1"/>
  <c r="CC204" i="23" s="1"/>
  <c r="CD204" i="23" s="1"/>
  <c r="CE204" i="23" s="1"/>
  <c r="CF204" i="23" s="1"/>
  <c r="CG204" i="23" s="1"/>
  <c r="CH204" i="23" s="1"/>
  <c r="CI204" i="23" s="1"/>
  <c r="CJ204" i="23" s="1"/>
  <c r="CK204" i="23" s="1"/>
  <c r="CL204" i="23" s="1"/>
  <c r="CM204" i="23" s="1"/>
  <c r="CN204" i="23" s="1"/>
  <c r="CO204" i="23" s="1"/>
  <c r="CP204" i="23" s="1"/>
  <c r="AF204" i="23"/>
  <c r="G204" i="23"/>
  <c r="D204" i="23"/>
  <c r="AF203" i="23"/>
  <c r="G203" i="23"/>
  <c r="D203" i="23"/>
  <c r="AF202" i="23"/>
  <c r="G202" i="23"/>
  <c r="D202" i="23"/>
  <c r="AF201" i="23"/>
  <c r="G201" i="23"/>
  <c r="D201" i="23"/>
  <c r="AF200" i="23"/>
  <c r="G200" i="23"/>
  <c r="D200" i="23"/>
  <c r="AF199" i="23"/>
  <c r="G199" i="23"/>
  <c r="D199" i="23"/>
  <c r="AF198" i="23"/>
  <c r="G198" i="23"/>
  <c r="D198" i="23"/>
  <c r="AF197" i="23"/>
  <c r="G197" i="23"/>
  <c r="D197" i="23"/>
  <c r="AF196" i="23"/>
  <c r="G196" i="23"/>
  <c r="D196" i="23"/>
  <c r="AF195" i="23"/>
  <c r="G195" i="23"/>
  <c r="D195" i="23"/>
  <c r="AF194" i="23"/>
  <c r="G194" i="23"/>
  <c r="D194" i="23"/>
  <c r="AF193" i="23"/>
  <c r="G193" i="23"/>
  <c r="D193" i="23"/>
  <c r="AF192" i="23"/>
  <c r="G192" i="23"/>
  <c r="D192" i="23"/>
  <c r="AF191" i="23"/>
  <c r="G191" i="23"/>
  <c r="D191" i="23"/>
  <c r="AF190" i="23"/>
  <c r="G190" i="23"/>
  <c r="E190" i="23"/>
  <c r="E191" i="23" s="1"/>
  <c r="E192" i="23" s="1"/>
  <c r="E193" i="23" s="1"/>
  <c r="E194" i="23" s="1"/>
  <c r="E195" i="23" s="1"/>
  <c r="E196" i="23" s="1"/>
  <c r="E197" i="23" s="1"/>
  <c r="E198" i="23" s="1"/>
  <c r="E199" i="23" s="1"/>
  <c r="E200" i="23" s="1"/>
  <c r="E201" i="23" s="1"/>
  <c r="D190" i="23"/>
  <c r="B190" i="23"/>
  <c r="B191" i="23" s="1"/>
  <c r="B192" i="23" s="1"/>
  <c r="B193" i="23" s="1"/>
  <c r="B194" i="23" s="1"/>
  <c r="B195" i="23" s="1"/>
  <c r="B196" i="23" s="1"/>
  <c r="B197" i="23" s="1"/>
  <c r="B198" i="23" s="1"/>
  <c r="B199" i="23" s="1"/>
  <c r="B200" i="23" s="1"/>
  <c r="B201" i="23" s="1"/>
  <c r="AF189" i="23"/>
  <c r="G189" i="23"/>
  <c r="D189" i="23"/>
  <c r="AF188" i="23"/>
  <c r="G188" i="23"/>
  <c r="E188" i="23"/>
  <c r="E187" i="23" s="1"/>
  <c r="E186" i="23" s="1"/>
  <c r="E185" i="23" s="1"/>
  <c r="E184" i="23" s="1"/>
  <c r="E183" i="23" s="1"/>
  <c r="E182" i="23" s="1"/>
  <c r="E181" i="23" s="1"/>
  <c r="E180" i="23" s="1"/>
  <c r="E179" i="23" s="1"/>
  <c r="E178" i="23" s="1"/>
  <c r="E177" i="23" s="1"/>
  <c r="D188" i="23"/>
  <c r="B188" i="23"/>
  <c r="B187" i="23" s="1"/>
  <c r="B186" i="23" s="1"/>
  <c r="B185" i="23" s="1"/>
  <c r="B184" i="23" s="1"/>
  <c r="B183" i="23" s="1"/>
  <c r="B182" i="23" s="1"/>
  <c r="B181" i="23" s="1"/>
  <c r="B180" i="23" s="1"/>
  <c r="B179" i="23" s="1"/>
  <c r="B178" i="23" s="1"/>
  <c r="B177" i="23" s="1"/>
  <c r="AF187" i="23"/>
  <c r="G187" i="23"/>
  <c r="D187" i="23"/>
  <c r="AF186" i="23"/>
  <c r="G186" i="23"/>
  <c r="D186" i="23"/>
  <c r="AF185" i="23"/>
  <c r="G185" i="23"/>
  <c r="D185" i="23"/>
  <c r="AF184" i="23"/>
  <c r="G184" i="23"/>
  <c r="D184" i="23"/>
  <c r="AF183" i="23"/>
  <c r="Z178" i="23"/>
  <c r="G183" i="23"/>
  <c r="D183" i="23"/>
  <c r="AF182" i="23"/>
  <c r="G182" i="23"/>
  <c r="D182" i="23"/>
  <c r="AF181" i="23"/>
  <c r="G181" i="23"/>
  <c r="D181" i="23"/>
  <c r="AF180" i="23"/>
  <c r="Y178" i="23"/>
  <c r="AH180" i="23" s="1"/>
  <c r="AI180" i="23" s="1"/>
  <c r="AJ180" i="23" s="1"/>
  <c r="AK180" i="23" s="1"/>
  <c r="AL180" i="23" s="1"/>
  <c r="AM180" i="23" s="1"/>
  <c r="AN180" i="23" s="1"/>
  <c r="AO180" i="23" s="1"/>
  <c r="AP180" i="23" s="1"/>
  <c r="AQ180" i="23" s="1"/>
  <c r="AR180" i="23" s="1"/>
  <c r="AS180" i="23" s="1"/>
  <c r="AT180" i="23" s="1"/>
  <c r="AU180" i="23" s="1"/>
  <c r="AV180" i="23" s="1"/>
  <c r="AW180" i="23" s="1"/>
  <c r="AX180" i="23" s="1"/>
  <c r="AY180" i="23" s="1"/>
  <c r="AZ180" i="23" s="1"/>
  <c r="BA180" i="23" s="1"/>
  <c r="BB180" i="23" s="1"/>
  <c r="BC180" i="23" s="1"/>
  <c r="BD180" i="23" s="1"/>
  <c r="BE180" i="23" s="1"/>
  <c r="BF180" i="23" s="1"/>
  <c r="BG180" i="23" s="1"/>
  <c r="BH180" i="23" s="1"/>
  <c r="BI180" i="23" s="1"/>
  <c r="BJ180" i="23" s="1"/>
  <c r="BK180" i="23" s="1"/>
  <c r="BL180" i="23" s="1"/>
  <c r="BM180" i="23" s="1"/>
  <c r="BN180" i="23" s="1"/>
  <c r="BO180" i="23" s="1"/>
  <c r="BP180" i="23" s="1"/>
  <c r="BQ180" i="23" s="1"/>
  <c r="BR180" i="23" s="1"/>
  <c r="BS180" i="23" s="1"/>
  <c r="BT180" i="23" s="1"/>
  <c r="BU180" i="23" s="1"/>
  <c r="BV180" i="23" s="1"/>
  <c r="BW180" i="23" s="1"/>
  <c r="BX180" i="23" s="1"/>
  <c r="BY180" i="23" s="1"/>
  <c r="BZ180" i="23" s="1"/>
  <c r="CA180" i="23" s="1"/>
  <c r="CB180" i="23" s="1"/>
  <c r="CC180" i="23" s="1"/>
  <c r="CD180" i="23" s="1"/>
  <c r="CE180" i="23" s="1"/>
  <c r="CF180" i="23" s="1"/>
  <c r="CG180" i="23" s="1"/>
  <c r="CH180" i="23" s="1"/>
  <c r="CI180" i="23" s="1"/>
  <c r="CJ180" i="23" s="1"/>
  <c r="CK180" i="23" s="1"/>
  <c r="CL180" i="23" s="1"/>
  <c r="CM180" i="23" s="1"/>
  <c r="CN180" i="23" s="1"/>
  <c r="CO180" i="23" s="1"/>
  <c r="CP180" i="23" s="1"/>
  <c r="G180" i="23"/>
  <c r="D180" i="23"/>
  <c r="AI179" i="23"/>
  <c r="AJ179" i="23" s="1"/>
  <c r="AK179" i="23" s="1"/>
  <c r="AL179" i="23" s="1"/>
  <c r="AM179" i="23" s="1"/>
  <c r="AN179" i="23" s="1"/>
  <c r="AO179" i="23" s="1"/>
  <c r="AP179" i="23" s="1"/>
  <c r="AQ179" i="23" s="1"/>
  <c r="AR179" i="23" s="1"/>
  <c r="AS179" i="23" s="1"/>
  <c r="AT179" i="23" s="1"/>
  <c r="AU179" i="23" s="1"/>
  <c r="AV179" i="23" s="1"/>
  <c r="AW179" i="23" s="1"/>
  <c r="AX179" i="23" s="1"/>
  <c r="AY179" i="23" s="1"/>
  <c r="AZ179" i="23" s="1"/>
  <c r="BA179" i="23" s="1"/>
  <c r="BB179" i="23" s="1"/>
  <c r="BC179" i="23" s="1"/>
  <c r="BD179" i="23" s="1"/>
  <c r="BE179" i="23" s="1"/>
  <c r="BF179" i="23" s="1"/>
  <c r="BG179" i="23" s="1"/>
  <c r="BH179" i="23" s="1"/>
  <c r="BI179" i="23" s="1"/>
  <c r="BJ179" i="23" s="1"/>
  <c r="BK179" i="23" s="1"/>
  <c r="BL179" i="23" s="1"/>
  <c r="BM179" i="23" s="1"/>
  <c r="BN179" i="23" s="1"/>
  <c r="BO179" i="23" s="1"/>
  <c r="BP179" i="23" s="1"/>
  <c r="BQ179" i="23" s="1"/>
  <c r="BR179" i="23" s="1"/>
  <c r="BS179" i="23" s="1"/>
  <c r="BT179" i="23" s="1"/>
  <c r="BU179" i="23" s="1"/>
  <c r="BV179" i="23" s="1"/>
  <c r="BW179" i="23" s="1"/>
  <c r="BX179" i="23" s="1"/>
  <c r="BY179" i="23" s="1"/>
  <c r="BZ179" i="23" s="1"/>
  <c r="CA179" i="23" s="1"/>
  <c r="CB179" i="23" s="1"/>
  <c r="CC179" i="23" s="1"/>
  <c r="CD179" i="23" s="1"/>
  <c r="CE179" i="23" s="1"/>
  <c r="CF179" i="23" s="1"/>
  <c r="CG179" i="23" s="1"/>
  <c r="CH179" i="23" s="1"/>
  <c r="CI179" i="23" s="1"/>
  <c r="CJ179" i="23" s="1"/>
  <c r="CK179" i="23" s="1"/>
  <c r="CL179" i="23" s="1"/>
  <c r="CM179" i="23" s="1"/>
  <c r="CN179" i="23" s="1"/>
  <c r="CO179" i="23" s="1"/>
  <c r="CP179" i="23" s="1"/>
  <c r="AF179" i="23"/>
  <c r="G179" i="23"/>
  <c r="D179" i="23"/>
  <c r="AF178" i="23"/>
  <c r="G178" i="23"/>
  <c r="D178" i="23"/>
  <c r="AF177" i="23"/>
  <c r="G177" i="23"/>
  <c r="D177" i="23"/>
  <c r="AF176" i="23"/>
  <c r="G176" i="23"/>
  <c r="D176" i="23"/>
  <c r="AF175" i="23"/>
  <c r="G175" i="23"/>
  <c r="D175" i="23"/>
  <c r="AF174" i="23"/>
  <c r="G174" i="23"/>
  <c r="D174" i="23"/>
  <c r="AF173" i="23"/>
  <c r="G173" i="23"/>
  <c r="D173" i="23"/>
  <c r="AF172" i="23"/>
  <c r="G172" i="23"/>
  <c r="D172" i="23"/>
  <c r="AF171" i="23"/>
  <c r="G171" i="23"/>
  <c r="D171" i="23"/>
  <c r="AF170" i="23"/>
  <c r="G170" i="23"/>
  <c r="D170" i="23"/>
  <c r="AF169" i="23"/>
  <c r="G169" i="23"/>
  <c r="D169" i="23"/>
  <c r="AF168" i="23"/>
  <c r="G168" i="23"/>
  <c r="D168" i="23"/>
  <c r="AF167" i="23"/>
  <c r="G167" i="23"/>
  <c r="D167" i="23"/>
  <c r="AF166" i="23"/>
  <c r="G166" i="23"/>
  <c r="D166" i="23"/>
  <c r="AF165" i="23"/>
  <c r="G165" i="23"/>
  <c r="E165" i="23"/>
  <c r="E166" i="23" s="1"/>
  <c r="E167" i="23" s="1"/>
  <c r="E168" i="23" s="1"/>
  <c r="E169" i="23" s="1"/>
  <c r="E170" i="23" s="1"/>
  <c r="E171" i="23" s="1"/>
  <c r="E172" i="23" s="1"/>
  <c r="E173" i="23" s="1"/>
  <c r="E174" i="23" s="1"/>
  <c r="E175" i="23" s="1"/>
  <c r="E176" i="23" s="1"/>
  <c r="D165" i="23"/>
  <c r="B165" i="23"/>
  <c r="B166" i="23" s="1"/>
  <c r="B167" i="23" s="1"/>
  <c r="B168" i="23" s="1"/>
  <c r="B169" i="23" s="1"/>
  <c r="B170" i="23" s="1"/>
  <c r="B171" i="23" s="1"/>
  <c r="B172" i="23" s="1"/>
  <c r="B173" i="23" s="1"/>
  <c r="B174" i="23" s="1"/>
  <c r="B175" i="23" s="1"/>
  <c r="B176" i="23" s="1"/>
  <c r="AF164" i="23"/>
  <c r="G164" i="23"/>
  <c r="D164" i="23"/>
  <c r="AF163" i="23"/>
  <c r="G163" i="23"/>
  <c r="E163" i="23"/>
  <c r="E162" i="23" s="1"/>
  <c r="E161" i="23" s="1"/>
  <c r="E160" i="23" s="1"/>
  <c r="E159" i="23" s="1"/>
  <c r="E158" i="23" s="1"/>
  <c r="E157" i="23" s="1"/>
  <c r="E156" i="23" s="1"/>
  <c r="E155" i="23" s="1"/>
  <c r="E154" i="23" s="1"/>
  <c r="E153" i="23" s="1"/>
  <c r="E152" i="23" s="1"/>
  <c r="D163" i="23"/>
  <c r="B163" i="23"/>
  <c r="B162" i="23" s="1"/>
  <c r="B161" i="23" s="1"/>
  <c r="B160" i="23" s="1"/>
  <c r="B159" i="23" s="1"/>
  <c r="B158" i="23" s="1"/>
  <c r="B157" i="23" s="1"/>
  <c r="B156" i="23" s="1"/>
  <c r="B155" i="23" s="1"/>
  <c r="B154" i="23" s="1"/>
  <c r="B153" i="23" s="1"/>
  <c r="B152" i="23" s="1"/>
  <c r="AF162" i="23"/>
  <c r="G162" i="23"/>
  <c r="D162" i="23"/>
  <c r="AF161" i="23"/>
  <c r="G161" i="23"/>
  <c r="D161" i="23"/>
  <c r="AF160" i="23"/>
  <c r="G160" i="23"/>
  <c r="D160" i="23"/>
  <c r="AF159" i="23"/>
  <c r="G159" i="23"/>
  <c r="D159" i="23"/>
  <c r="AF158" i="23"/>
  <c r="Z153" i="23"/>
  <c r="G158" i="23"/>
  <c r="D158" i="23"/>
  <c r="AF157" i="23"/>
  <c r="G157" i="23"/>
  <c r="D157" i="23"/>
  <c r="AF156" i="23"/>
  <c r="G156" i="23"/>
  <c r="D156" i="23"/>
  <c r="AF155" i="23"/>
  <c r="Y153" i="23"/>
  <c r="AA153" i="23" s="1"/>
  <c r="G155" i="23"/>
  <c r="D155" i="23"/>
  <c r="AI154" i="23"/>
  <c r="AJ154" i="23" s="1"/>
  <c r="AK154" i="23" s="1"/>
  <c r="AL154" i="23" s="1"/>
  <c r="AM154" i="23" s="1"/>
  <c r="AN154" i="23" s="1"/>
  <c r="AO154" i="23" s="1"/>
  <c r="AP154" i="23" s="1"/>
  <c r="AQ154" i="23" s="1"/>
  <c r="AR154" i="23" s="1"/>
  <c r="AS154" i="23" s="1"/>
  <c r="AT154" i="23" s="1"/>
  <c r="AU154" i="23" s="1"/>
  <c r="AV154" i="23" s="1"/>
  <c r="AW154" i="23" s="1"/>
  <c r="AX154" i="23" s="1"/>
  <c r="AY154" i="23" s="1"/>
  <c r="AZ154" i="23" s="1"/>
  <c r="BA154" i="23" s="1"/>
  <c r="BB154" i="23" s="1"/>
  <c r="BC154" i="23" s="1"/>
  <c r="BD154" i="23" s="1"/>
  <c r="BE154" i="23" s="1"/>
  <c r="BF154" i="23" s="1"/>
  <c r="BG154" i="23" s="1"/>
  <c r="BH154" i="23" s="1"/>
  <c r="BI154" i="23" s="1"/>
  <c r="BJ154" i="23" s="1"/>
  <c r="BK154" i="23" s="1"/>
  <c r="BL154" i="23" s="1"/>
  <c r="BM154" i="23" s="1"/>
  <c r="BN154" i="23" s="1"/>
  <c r="BO154" i="23" s="1"/>
  <c r="BP154" i="23" s="1"/>
  <c r="BQ154" i="23" s="1"/>
  <c r="BR154" i="23" s="1"/>
  <c r="BS154" i="23" s="1"/>
  <c r="BT154" i="23" s="1"/>
  <c r="BU154" i="23" s="1"/>
  <c r="BV154" i="23" s="1"/>
  <c r="BW154" i="23" s="1"/>
  <c r="BX154" i="23" s="1"/>
  <c r="BY154" i="23" s="1"/>
  <c r="BZ154" i="23" s="1"/>
  <c r="CA154" i="23" s="1"/>
  <c r="CB154" i="23" s="1"/>
  <c r="CC154" i="23" s="1"/>
  <c r="CD154" i="23" s="1"/>
  <c r="CE154" i="23" s="1"/>
  <c r="CF154" i="23" s="1"/>
  <c r="CG154" i="23" s="1"/>
  <c r="CH154" i="23" s="1"/>
  <c r="CI154" i="23" s="1"/>
  <c r="CJ154" i="23" s="1"/>
  <c r="CK154" i="23" s="1"/>
  <c r="CL154" i="23" s="1"/>
  <c r="CM154" i="23" s="1"/>
  <c r="CN154" i="23" s="1"/>
  <c r="CO154" i="23" s="1"/>
  <c r="CP154" i="23" s="1"/>
  <c r="AF154" i="23"/>
  <c r="G154" i="23"/>
  <c r="D154" i="23"/>
  <c r="AF153" i="23"/>
  <c r="G153" i="23"/>
  <c r="D153" i="23"/>
  <c r="AF152" i="23"/>
  <c r="G152" i="23"/>
  <c r="D152" i="23"/>
  <c r="AF151" i="23"/>
  <c r="G151" i="23"/>
  <c r="D151" i="23"/>
  <c r="AF150" i="23"/>
  <c r="G150" i="23"/>
  <c r="D150" i="23"/>
  <c r="AF149" i="23"/>
  <c r="G149" i="23"/>
  <c r="D149" i="23"/>
  <c r="AF148" i="23"/>
  <c r="G148" i="23"/>
  <c r="D148" i="23"/>
  <c r="AF147" i="23"/>
  <c r="G147" i="23"/>
  <c r="D147" i="23"/>
  <c r="AF146" i="23"/>
  <c r="G146" i="23"/>
  <c r="D146" i="23"/>
  <c r="AF145" i="23"/>
  <c r="G145" i="23"/>
  <c r="D145" i="23"/>
  <c r="AF144" i="23"/>
  <c r="G144" i="23"/>
  <c r="D144" i="23"/>
  <c r="AF143" i="23"/>
  <c r="G143" i="23"/>
  <c r="D143" i="23"/>
  <c r="AF142" i="23"/>
  <c r="G142" i="23"/>
  <c r="D142" i="23"/>
  <c r="AF141" i="23"/>
  <c r="G141" i="23"/>
  <c r="D141" i="23"/>
  <c r="AF140" i="23"/>
  <c r="G140" i="23"/>
  <c r="E140" i="23"/>
  <c r="E141" i="23" s="1"/>
  <c r="E142" i="23" s="1"/>
  <c r="E143" i="23" s="1"/>
  <c r="E144" i="23" s="1"/>
  <c r="E145" i="23" s="1"/>
  <c r="E146" i="23" s="1"/>
  <c r="E147" i="23" s="1"/>
  <c r="E148" i="23" s="1"/>
  <c r="E149" i="23" s="1"/>
  <c r="E150" i="23" s="1"/>
  <c r="E151" i="23" s="1"/>
  <c r="D140" i="23"/>
  <c r="B140" i="23"/>
  <c r="B141" i="23" s="1"/>
  <c r="B142" i="23" s="1"/>
  <c r="B143" i="23" s="1"/>
  <c r="B144" i="23" s="1"/>
  <c r="B145" i="23" s="1"/>
  <c r="B146" i="23" s="1"/>
  <c r="B147" i="23" s="1"/>
  <c r="B148" i="23" s="1"/>
  <c r="B149" i="23" s="1"/>
  <c r="B150" i="23" s="1"/>
  <c r="B151" i="23" s="1"/>
  <c r="AF139" i="23"/>
  <c r="G139" i="23"/>
  <c r="D139" i="23"/>
  <c r="AF138" i="23"/>
  <c r="G138" i="23"/>
  <c r="E138" i="23"/>
  <c r="E137" i="23" s="1"/>
  <c r="E136" i="23" s="1"/>
  <c r="E135" i="23" s="1"/>
  <c r="E134" i="23" s="1"/>
  <c r="E133" i="23" s="1"/>
  <c r="E132" i="23" s="1"/>
  <c r="E131" i="23" s="1"/>
  <c r="E130" i="23" s="1"/>
  <c r="E129" i="23" s="1"/>
  <c r="E128" i="23" s="1"/>
  <c r="E127" i="23" s="1"/>
  <c r="D138" i="23"/>
  <c r="B138" i="23"/>
  <c r="AF137" i="23"/>
  <c r="G137" i="23"/>
  <c r="D137" i="23"/>
  <c r="B137" i="23"/>
  <c r="B136" i="23" s="1"/>
  <c r="B135" i="23" s="1"/>
  <c r="B134" i="23" s="1"/>
  <c r="B133" i="23" s="1"/>
  <c r="B132" i="23" s="1"/>
  <c r="B131" i="23" s="1"/>
  <c r="B130" i="23" s="1"/>
  <c r="B129" i="23" s="1"/>
  <c r="B128" i="23" s="1"/>
  <c r="B127" i="23" s="1"/>
  <c r="AF136" i="23"/>
  <c r="G136" i="23"/>
  <c r="D136" i="23"/>
  <c r="AF135" i="23"/>
  <c r="G135" i="23"/>
  <c r="D135" i="23"/>
  <c r="AF134" i="23"/>
  <c r="G134" i="23"/>
  <c r="D134" i="23"/>
  <c r="AF133" i="23"/>
  <c r="Z128" i="23"/>
  <c r="G133" i="23"/>
  <c r="D133" i="23"/>
  <c r="AF132" i="23"/>
  <c r="G132" i="23"/>
  <c r="D132" i="23"/>
  <c r="AF131" i="23"/>
  <c r="G131" i="23"/>
  <c r="D131" i="23"/>
  <c r="AF130" i="23"/>
  <c r="Y128" i="23"/>
  <c r="AA128" i="23" s="1"/>
  <c r="G130" i="23"/>
  <c r="D130" i="23"/>
  <c r="AI129" i="23"/>
  <c r="AJ129" i="23" s="1"/>
  <c r="AK129" i="23" s="1"/>
  <c r="AL129" i="23" s="1"/>
  <c r="AM129" i="23" s="1"/>
  <c r="AN129" i="23" s="1"/>
  <c r="AO129" i="23" s="1"/>
  <c r="AP129" i="23" s="1"/>
  <c r="AQ129" i="23" s="1"/>
  <c r="AR129" i="23" s="1"/>
  <c r="AS129" i="23" s="1"/>
  <c r="AT129" i="23" s="1"/>
  <c r="AU129" i="23" s="1"/>
  <c r="AV129" i="23" s="1"/>
  <c r="AW129" i="23" s="1"/>
  <c r="AX129" i="23" s="1"/>
  <c r="AY129" i="23" s="1"/>
  <c r="AZ129" i="23" s="1"/>
  <c r="BA129" i="23" s="1"/>
  <c r="BB129" i="23" s="1"/>
  <c r="BC129" i="23" s="1"/>
  <c r="BD129" i="23" s="1"/>
  <c r="BE129" i="23" s="1"/>
  <c r="BF129" i="23" s="1"/>
  <c r="BG129" i="23" s="1"/>
  <c r="BH129" i="23" s="1"/>
  <c r="BI129" i="23" s="1"/>
  <c r="BJ129" i="23" s="1"/>
  <c r="BK129" i="23" s="1"/>
  <c r="BL129" i="23" s="1"/>
  <c r="BM129" i="23" s="1"/>
  <c r="BN129" i="23" s="1"/>
  <c r="BO129" i="23" s="1"/>
  <c r="BP129" i="23" s="1"/>
  <c r="BQ129" i="23" s="1"/>
  <c r="BR129" i="23" s="1"/>
  <c r="BS129" i="23" s="1"/>
  <c r="BT129" i="23" s="1"/>
  <c r="BU129" i="23" s="1"/>
  <c r="BV129" i="23" s="1"/>
  <c r="BW129" i="23" s="1"/>
  <c r="BX129" i="23" s="1"/>
  <c r="BY129" i="23" s="1"/>
  <c r="BZ129" i="23" s="1"/>
  <c r="CA129" i="23" s="1"/>
  <c r="CB129" i="23" s="1"/>
  <c r="CC129" i="23" s="1"/>
  <c r="CD129" i="23" s="1"/>
  <c r="CE129" i="23" s="1"/>
  <c r="CF129" i="23" s="1"/>
  <c r="CG129" i="23" s="1"/>
  <c r="CH129" i="23" s="1"/>
  <c r="CI129" i="23" s="1"/>
  <c r="CJ129" i="23" s="1"/>
  <c r="CK129" i="23" s="1"/>
  <c r="CL129" i="23" s="1"/>
  <c r="CM129" i="23" s="1"/>
  <c r="CN129" i="23" s="1"/>
  <c r="CO129" i="23" s="1"/>
  <c r="CP129" i="23" s="1"/>
  <c r="AF129" i="23"/>
  <c r="G129" i="23"/>
  <c r="D129" i="23"/>
  <c r="AF128" i="23"/>
  <c r="G128" i="23"/>
  <c r="D128" i="23"/>
  <c r="AF127" i="23"/>
  <c r="G127" i="23"/>
  <c r="D127" i="23"/>
  <c r="AF126" i="23"/>
  <c r="G126" i="23"/>
  <c r="D126" i="23"/>
  <c r="AF125" i="23"/>
  <c r="G125" i="23"/>
  <c r="D125" i="23"/>
  <c r="AF124" i="23"/>
  <c r="G124" i="23"/>
  <c r="D124" i="23"/>
  <c r="AF123" i="23"/>
  <c r="G123" i="23"/>
  <c r="D123" i="23"/>
  <c r="AF122" i="23"/>
  <c r="G122" i="23"/>
  <c r="D122" i="23"/>
  <c r="AF121" i="23"/>
  <c r="G121" i="23"/>
  <c r="D121" i="23"/>
  <c r="AF120" i="23"/>
  <c r="G120" i="23"/>
  <c r="D120" i="23"/>
  <c r="AF119" i="23"/>
  <c r="G119" i="23"/>
  <c r="D119" i="23"/>
  <c r="AF118" i="23"/>
  <c r="G118" i="23"/>
  <c r="D118" i="23"/>
  <c r="AF117" i="23"/>
  <c r="G117" i="23"/>
  <c r="D117" i="23"/>
  <c r="AF116" i="23"/>
  <c r="G116" i="23"/>
  <c r="D116" i="23"/>
  <c r="AF115" i="23"/>
  <c r="G115" i="23"/>
  <c r="E115" i="23"/>
  <c r="E116" i="23" s="1"/>
  <c r="E117" i="23" s="1"/>
  <c r="E118" i="23" s="1"/>
  <c r="E119" i="23" s="1"/>
  <c r="E120" i="23" s="1"/>
  <c r="E121" i="23" s="1"/>
  <c r="E122" i="23" s="1"/>
  <c r="E123" i="23" s="1"/>
  <c r="E124" i="23" s="1"/>
  <c r="E125" i="23" s="1"/>
  <c r="E126" i="23" s="1"/>
  <c r="D115" i="23"/>
  <c r="B115" i="23"/>
  <c r="B116" i="23" s="1"/>
  <c r="B117" i="23" s="1"/>
  <c r="B118" i="23" s="1"/>
  <c r="B119" i="23" s="1"/>
  <c r="B120" i="23" s="1"/>
  <c r="B121" i="23" s="1"/>
  <c r="B122" i="23" s="1"/>
  <c r="B123" i="23" s="1"/>
  <c r="B124" i="23" s="1"/>
  <c r="B125" i="23" s="1"/>
  <c r="B126" i="23" s="1"/>
  <c r="AF114" i="23"/>
  <c r="G114" i="23"/>
  <c r="D114" i="23"/>
  <c r="AF113" i="23"/>
  <c r="G113" i="23"/>
  <c r="E113" i="23"/>
  <c r="E112" i="23" s="1"/>
  <c r="E111" i="23" s="1"/>
  <c r="E110" i="23" s="1"/>
  <c r="E109" i="23" s="1"/>
  <c r="E108" i="23" s="1"/>
  <c r="E107" i="23" s="1"/>
  <c r="E106" i="23" s="1"/>
  <c r="E105" i="23" s="1"/>
  <c r="E104" i="23" s="1"/>
  <c r="E103" i="23" s="1"/>
  <c r="E102" i="23" s="1"/>
  <c r="D113" i="23"/>
  <c r="B113" i="23"/>
  <c r="B112" i="23" s="1"/>
  <c r="B111" i="23" s="1"/>
  <c r="B110" i="23" s="1"/>
  <c r="B109" i="23" s="1"/>
  <c r="B108" i="23" s="1"/>
  <c r="B107" i="23" s="1"/>
  <c r="B106" i="23" s="1"/>
  <c r="B105" i="23" s="1"/>
  <c r="B104" i="23" s="1"/>
  <c r="B103" i="23" s="1"/>
  <c r="B102" i="23" s="1"/>
  <c r="AF112" i="23"/>
  <c r="G112" i="23"/>
  <c r="D112" i="23"/>
  <c r="AF111" i="23"/>
  <c r="G111" i="23"/>
  <c r="D111" i="23"/>
  <c r="AF110" i="23"/>
  <c r="G110" i="23"/>
  <c r="D110" i="23"/>
  <c r="AF109" i="23"/>
  <c r="G109" i="23"/>
  <c r="D109" i="23"/>
  <c r="AF108" i="23"/>
  <c r="Z103" i="23"/>
  <c r="G108" i="23"/>
  <c r="D108" i="23"/>
  <c r="AF107" i="23"/>
  <c r="G107" i="23"/>
  <c r="D107" i="23"/>
  <c r="AF106" i="23"/>
  <c r="G106" i="23"/>
  <c r="D106" i="23"/>
  <c r="AF105" i="23"/>
  <c r="Y103" i="23"/>
  <c r="AA103" i="23" s="1"/>
  <c r="G105" i="23"/>
  <c r="D105" i="23"/>
  <c r="AI104" i="23"/>
  <c r="AJ104" i="23" s="1"/>
  <c r="AK104" i="23" s="1"/>
  <c r="AL104" i="23" s="1"/>
  <c r="AM104" i="23" s="1"/>
  <c r="AN104" i="23" s="1"/>
  <c r="AO104" i="23" s="1"/>
  <c r="AP104" i="23" s="1"/>
  <c r="AQ104" i="23" s="1"/>
  <c r="AR104" i="23" s="1"/>
  <c r="AS104" i="23" s="1"/>
  <c r="AT104" i="23" s="1"/>
  <c r="AU104" i="23" s="1"/>
  <c r="AV104" i="23" s="1"/>
  <c r="AW104" i="23" s="1"/>
  <c r="AX104" i="23" s="1"/>
  <c r="AY104" i="23" s="1"/>
  <c r="AZ104" i="23" s="1"/>
  <c r="BA104" i="23" s="1"/>
  <c r="BB104" i="23" s="1"/>
  <c r="BC104" i="23" s="1"/>
  <c r="BD104" i="23" s="1"/>
  <c r="BE104" i="23" s="1"/>
  <c r="BF104" i="23" s="1"/>
  <c r="BG104" i="23" s="1"/>
  <c r="BH104" i="23" s="1"/>
  <c r="BI104" i="23" s="1"/>
  <c r="BJ104" i="23" s="1"/>
  <c r="BK104" i="23" s="1"/>
  <c r="BL104" i="23" s="1"/>
  <c r="BM104" i="23" s="1"/>
  <c r="BN104" i="23" s="1"/>
  <c r="BO104" i="23" s="1"/>
  <c r="BP104" i="23" s="1"/>
  <c r="BQ104" i="23" s="1"/>
  <c r="BR104" i="23" s="1"/>
  <c r="BS104" i="23" s="1"/>
  <c r="BT104" i="23" s="1"/>
  <c r="BU104" i="23" s="1"/>
  <c r="BV104" i="23" s="1"/>
  <c r="BW104" i="23" s="1"/>
  <c r="BX104" i="23" s="1"/>
  <c r="BY104" i="23" s="1"/>
  <c r="BZ104" i="23" s="1"/>
  <c r="CA104" i="23" s="1"/>
  <c r="CB104" i="23" s="1"/>
  <c r="CC104" i="23" s="1"/>
  <c r="CD104" i="23" s="1"/>
  <c r="CE104" i="23" s="1"/>
  <c r="CF104" i="23" s="1"/>
  <c r="CG104" i="23" s="1"/>
  <c r="CH104" i="23" s="1"/>
  <c r="CI104" i="23" s="1"/>
  <c r="CJ104" i="23" s="1"/>
  <c r="CK104" i="23" s="1"/>
  <c r="CL104" i="23" s="1"/>
  <c r="CM104" i="23" s="1"/>
  <c r="CN104" i="23" s="1"/>
  <c r="CO104" i="23" s="1"/>
  <c r="CP104" i="23" s="1"/>
  <c r="AF104" i="23"/>
  <c r="G104" i="23"/>
  <c r="D104" i="23"/>
  <c r="AF103" i="23"/>
  <c r="G103" i="23"/>
  <c r="D103" i="23"/>
  <c r="AF102" i="23"/>
  <c r="G102" i="23"/>
  <c r="D102" i="23"/>
  <c r="AF101" i="23"/>
  <c r="G101" i="23"/>
  <c r="D101" i="23"/>
  <c r="AF100" i="23"/>
  <c r="G100" i="23"/>
  <c r="D100" i="23"/>
  <c r="AF99" i="23"/>
  <c r="G99" i="23"/>
  <c r="D99" i="23"/>
  <c r="AF98" i="23"/>
  <c r="G98" i="23"/>
  <c r="D98" i="23"/>
  <c r="AF97" i="23"/>
  <c r="G97" i="23"/>
  <c r="D97" i="23"/>
  <c r="AF96" i="23"/>
  <c r="G96" i="23"/>
  <c r="D96" i="23"/>
  <c r="AF95" i="23"/>
  <c r="G95" i="23"/>
  <c r="D95" i="23"/>
  <c r="AF94" i="23"/>
  <c r="G94" i="23"/>
  <c r="D94" i="23"/>
  <c r="AF93" i="23"/>
  <c r="G93" i="23"/>
  <c r="D93" i="23"/>
  <c r="AF92" i="23"/>
  <c r="G92" i="23"/>
  <c r="D92" i="23"/>
  <c r="AF91" i="23"/>
  <c r="G91" i="23"/>
  <c r="D91" i="23"/>
  <c r="AF90" i="23"/>
  <c r="G90" i="23"/>
  <c r="E90" i="23"/>
  <c r="E91" i="23" s="1"/>
  <c r="E92" i="23" s="1"/>
  <c r="E93" i="23" s="1"/>
  <c r="E94" i="23" s="1"/>
  <c r="E95" i="23" s="1"/>
  <c r="E96" i="23" s="1"/>
  <c r="E97" i="23" s="1"/>
  <c r="E98" i="23" s="1"/>
  <c r="E99" i="23" s="1"/>
  <c r="E100" i="23" s="1"/>
  <c r="E101" i="23" s="1"/>
  <c r="D90" i="23"/>
  <c r="B90" i="23"/>
  <c r="B91" i="23" s="1"/>
  <c r="B92" i="23" s="1"/>
  <c r="B93" i="23" s="1"/>
  <c r="B94" i="23" s="1"/>
  <c r="B95" i="23" s="1"/>
  <c r="B96" i="23" s="1"/>
  <c r="B97" i="23" s="1"/>
  <c r="B98" i="23" s="1"/>
  <c r="B99" i="23" s="1"/>
  <c r="B100" i="23" s="1"/>
  <c r="B101" i="23" s="1"/>
  <c r="AF89" i="23"/>
  <c r="G89" i="23"/>
  <c r="D89" i="23"/>
  <c r="AF88" i="23"/>
  <c r="G88" i="23"/>
  <c r="E88" i="23"/>
  <c r="E87" i="23" s="1"/>
  <c r="E86" i="23" s="1"/>
  <c r="E85" i="23" s="1"/>
  <c r="E84" i="23" s="1"/>
  <c r="E83" i="23" s="1"/>
  <c r="E82" i="23" s="1"/>
  <c r="E81" i="23" s="1"/>
  <c r="E80" i="23" s="1"/>
  <c r="E79" i="23" s="1"/>
  <c r="E78" i="23" s="1"/>
  <c r="E77" i="23" s="1"/>
  <c r="D88" i="23"/>
  <c r="B88" i="23"/>
  <c r="B87" i="23" s="1"/>
  <c r="B86" i="23" s="1"/>
  <c r="B85" i="23" s="1"/>
  <c r="B84" i="23" s="1"/>
  <c r="B83" i="23" s="1"/>
  <c r="B82" i="23" s="1"/>
  <c r="B81" i="23" s="1"/>
  <c r="B80" i="23" s="1"/>
  <c r="B79" i="23" s="1"/>
  <c r="B78" i="23" s="1"/>
  <c r="B77" i="23" s="1"/>
  <c r="AF87" i="23"/>
  <c r="G87" i="23"/>
  <c r="D87" i="23"/>
  <c r="AF86" i="23"/>
  <c r="G86" i="23"/>
  <c r="D86" i="23"/>
  <c r="AF85" i="23"/>
  <c r="G85" i="23"/>
  <c r="D85" i="23"/>
  <c r="AF84" i="23"/>
  <c r="G84" i="23"/>
  <c r="D84" i="23"/>
  <c r="AF83" i="23"/>
  <c r="Z78" i="23"/>
  <c r="G83" i="23"/>
  <c r="D83" i="23"/>
  <c r="AF82" i="23"/>
  <c r="G82" i="23"/>
  <c r="D82" i="23"/>
  <c r="AF81" i="23"/>
  <c r="G81" i="23"/>
  <c r="D81" i="23"/>
  <c r="AF80" i="23"/>
  <c r="Y78" i="23"/>
  <c r="AA78" i="23" s="1"/>
  <c r="G80" i="23"/>
  <c r="D80" i="23"/>
  <c r="AI79" i="23"/>
  <c r="AJ79" i="23" s="1"/>
  <c r="AK79" i="23" s="1"/>
  <c r="AL79" i="23" s="1"/>
  <c r="AM79" i="23" s="1"/>
  <c r="AN79" i="23" s="1"/>
  <c r="AO79" i="23" s="1"/>
  <c r="AP79" i="23" s="1"/>
  <c r="AQ79" i="23" s="1"/>
  <c r="AR79" i="23" s="1"/>
  <c r="AS79" i="23" s="1"/>
  <c r="AT79" i="23" s="1"/>
  <c r="AU79" i="23" s="1"/>
  <c r="AV79" i="23" s="1"/>
  <c r="AW79" i="23" s="1"/>
  <c r="AX79" i="23" s="1"/>
  <c r="AY79" i="23" s="1"/>
  <c r="AZ79" i="23" s="1"/>
  <c r="BA79" i="23" s="1"/>
  <c r="BB79" i="23" s="1"/>
  <c r="BC79" i="23" s="1"/>
  <c r="BD79" i="23" s="1"/>
  <c r="BE79" i="23" s="1"/>
  <c r="BF79" i="23" s="1"/>
  <c r="BG79" i="23" s="1"/>
  <c r="BH79" i="23" s="1"/>
  <c r="BI79" i="23" s="1"/>
  <c r="BJ79" i="23" s="1"/>
  <c r="BK79" i="23" s="1"/>
  <c r="BL79" i="23" s="1"/>
  <c r="BM79" i="23" s="1"/>
  <c r="BN79" i="23" s="1"/>
  <c r="BO79" i="23" s="1"/>
  <c r="BP79" i="23" s="1"/>
  <c r="BQ79" i="23" s="1"/>
  <c r="BR79" i="23" s="1"/>
  <c r="BS79" i="23" s="1"/>
  <c r="BT79" i="23" s="1"/>
  <c r="BU79" i="23" s="1"/>
  <c r="BV79" i="23" s="1"/>
  <c r="BW79" i="23" s="1"/>
  <c r="BX79" i="23" s="1"/>
  <c r="BY79" i="23" s="1"/>
  <c r="BZ79" i="23" s="1"/>
  <c r="CA79" i="23" s="1"/>
  <c r="CB79" i="23" s="1"/>
  <c r="CC79" i="23" s="1"/>
  <c r="CD79" i="23" s="1"/>
  <c r="CE79" i="23" s="1"/>
  <c r="CF79" i="23" s="1"/>
  <c r="CG79" i="23" s="1"/>
  <c r="CH79" i="23" s="1"/>
  <c r="CI79" i="23" s="1"/>
  <c r="CJ79" i="23" s="1"/>
  <c r="CK79" i="23" s="1"/>
  <c r="CL79" i="23" s="1"/>
  <c r="CM79" i="23" s="1"/>
  <c r="CN79" i="23" s="1"/>
  <c r="CO79" i="23" s="1"/>
  <c r="CP79" i="23" s="1"/>
  <c r="AF79" i="23"/>
  <c r="G79" i="23"/>
  <c r="D79" i="23"/>
  <c r="AF78" i="23"/>
  <c r="G78" i="23"/>
  <c r="D78" i="23"/>
  <c r="AF77" i="23"/>
  <c r="G77" i="23"/>
  <c r="D77" i="23"/>
  <c r="AF76" i="23"/>
  <c r="G76" i="23"/>
  <c r="D76" i="23"/>
  <c r="AF75" i="23"/>
  <c r="G75" i="23"/>
  <c r="D75" i="23"/>
  <c r="AF74" i="23"/>
  <c r="G74" i="23"/>
  <c r="D74" i="23"/>
  <c r="AF73" i="23"/>
  <c r="G73" i="23"/>
  <c r="D73" i="23"/>
  <c r="AF72" i="23"/>
  <c r="G72" i="23"/>
  <c r="D72" i="23"/>
  <c r="AF71" i="23"/>
  <c r="G71" i="23"/>
  <c r="D71" i="23"/>
  <c r="AF70" i="23"/>
  <c r="G70" i="23"/>
  <c r="D70" i="23"/>
  <c r="AF69" i="23"/>
  <c r="G69" i="23"/>
  <c r="D69" i="23"/>
  <c r="AF68" i="23"/>
  <c r="G68" i="23"/>
  <c r="D68" i="23"/>
  <c r="AF67" i="23"/>
  <c r="G67" i="23"/>
  <c r="D67" i="23"/>
  <c r="AF66" i="23"/>
  <c r="G66" i="23"/>
  <c r="D66" i="23"/>
  <c r="AF65" i="23"/>
  <c r="G65" i="23"/>
  <c r="E65" i="23"/>
  <c r="E66" i="23" s="1"/>
  <c r="E67" i="23" s="1"/>
  <c r="E68" i="23" s="1"/>
  <c r="E69" i="23" s="1"/>
  <c r="E70" i="23" s="1"/>
  <c r="E71" i="23" s="1"/>
  <c r="E72" i="23" s="1"/>
  <c r="E73" i="23" s="1"/>
  <c r="E74" i="23" s="1"/>
  <c r="E75" i="23" s="1"/>
  <c r="E76" i="23" s="1"/>
  <c r="D65" i="23"/>
  <c r="B65" i="23"/>
  <c r="B66" i="23" s="1"/>
  <c r="B67" i="23" s="1"/>
  <c r="B68" i="23" s="1"/>
  <c r="B69" i="23" s="1"/>
  <c r="B70" i="23" s="1"/>
  <c r="B71" i="23" s="1"/>
  <c r="B72" i="23" s="1"/>
  <c r="B73" i="23" s="1"/>
  <c r="B74" i="23" s="1"/>
  <c r="B75" i="23" s="1"/>
  <c r="B76" i="23" s="1"/>
  <c r="AF64" i="23"/>
  <c r="G64" i="23"/>
  <c r="D64" i="23"/>
  <c r="AF63" i="23"/>
  <c r="G63" i="23"/>
  <c r="E63" i="23"/>
  <c r="E62" i="23" s="1"/>
  <c r="E61" i="23" s="1"/>
  <c r="E60" i="23" s="1"/>
  <c r="E59" i="23" s="1"/>
  <c r="E58" i="23" s="1"/>
  <c r="E57" i="23" s="1"/>
  <c r="E56" i="23" s="1"/>
  <c r="E55" i="23" s="1"/>
  <c r="E54" i="23" s="1"/>
  <c r="E53" i="23" s="1"/>
  <c r="E52" i="23" s="1"/>
  <c r="D63" i="23"/>
  <c r="B63" i="23"/>
  <c r="B62" i="23" s="1"/>
  <c r="B61" i="23" s="1"/>
  <c r="B60" i="23" s="1"/>
  <c r="B59" i="23" s="1"/>
  <c r="B58" i="23" s="1"/>
  <c r="B57" i="23" s="1"/>
  <c r="B56" i="23" s="1"/>
  <c r="B55" i="23" s="1"/>
  <c r="B54" i="23" s="1"/>
  <c r="B53" i="23" s="1"/>
  <c r="B52" i="23" s="1"/>
  <c r="AF62" i="23"/>
  <c r="G62" i="23"/>
  <c r="D62" i="23"/>
  <c r="AF61" i="23"/>
  <c r="G61" i="23"/>
  <c r="D61" i="23"/>
  <c r="AF60" i="23"/>
  <c r="G60" i="23"/>
  <c r="D60" i="23"/>
  <c r="AF59" i="23"/>
  <c r="G59" i="23"/>
  <c r="D59" i="23"/>
  <c r="AF58" i="23"/>
  <c r="Z53" i="23"/>
  <c r="G58" i="23"/>
  <c r="D58" i="23"/>
  <c r="AF57" i="23"/>
  <c r="G57" i="23"/>
  <c r="D57" i="23"/>
  <c r="AF56" i="23"/>
  <c r="G56" i="23"/>
  <c r="D56" i="23"/>
  <c r="AF55" i="23"/>
  <c r="Y53" i="23"/>
  <c r="AH55" i="23" s="1"/>
  <c r="AI55" i="23" s="1"/>
  <c r="AJ55" i="23" s="1"/>
  <c r="AK55" i="23" s="1"/>
  <c r="AL55" i="23" s="1"/>
  <c r="AM55" i="23" s="1"/>
  <c r="AN55" i="23" s="1"/>
  <c r="AO55" i="23" s="1"/>
  <c r="AP55" i="23" s="1"/>
  <c r="AQ55" i="23" s="1"/>
  <c r="AR55" i="23" s="1"/>
  <c r="AS55" i="23" s="1"/>
  <c r="AT55" i="23" s="1"/>
  <c r="AU55" i="23" s="1"/>
  <c r="AV55" i="23" s="1"/>
  <c r="AW55" i="23" s="1"/>
  <c r="AX55" i="23" s="1"/>
  <c r="AY55" i="23" s="1"/>
  <c r="AZ55" i="23" s="1"/>
  <c r="BA55" i="23" s="1"/>
  <c r="BB55" i="23" s="1"/>
  <c r="BC55" i="23" s="1"/>
  <c r="BD55" i="23" s="1"/>
  <c r="BE55" i="23" s="1"/>
  <c r="BF55" i="23" s="1"/>
  <c r="BG55" i="23" s="1"/>
  <c r="BH55" i="23" s="1"/>
  <c r="BI55" i="23" s="1"/>
  <c r="BJ55" i="23" s="1"/>
  <c r="BK55" i="23" s="1"/>
  <c r="BL55" i="23" s="1"/>
  <c r="BM55" i="23" s="1"/>
  <c r="BN55" i="23" s="1"/>
  <c r="BO55" i="23" s="1"/>
  <c r="BP55" i="23" s="1"/>
  <c r="BQ55" i="23" s="1"/>
  <c r="BR55" i="23" s="1"/>
  <c r="BS55" i="23" s="1"/>
  <c r="BT55" i="23" s="1"/>
  <c r="BU55" i="23" s="1"/>
  <c r="BV55" i="23" s="1"/>
  <c r="BW55" i="23" s="1"/>
  <c r="BX55" i="23" s="1"/>
  <c r="BY55" i="23" s="1"/>
  <c r="BZ55" i="23" s="1"/>
  <c r="CA55" i="23" s="1"/>
  <c r="CB55" i="23" s="1"/>
  <c r="CC55" i="23" s="1"/>
  <c r="CD55" i="23" s="1"/>
  <c r="CE55" i="23" s="1"/>
  <c r="CF55" i="23" s="1"/>
  <c r="CG55" i="23" s="1"/>
  <c r="CH55" i="23" s="1"/>
  <c r="CI55" i="23" s="1"/>
  <c r="CJ55" i="23" s="1"/>
  <c r="CK55" i="23" s="1"/>
  <c r="CL55" i="23" s="1"/>
  <c r="CM55" i="23" s="1"/>
  <c r="CN55" i="23" s="1"/>
  <c r="CO55" i="23" s="1"/>
  <c r="CP55" i="23" s="1"/>
  <c r="G55" i="23"/>
  <c r="D55" i="23"/>
  <c r="AI54" i="23"/>
  <c r="AJ54" i="23" s="1"/>
  <c r="AK54" i="23" s="1"/>
  <c r="AL54" i="23" s="1"/>
  <c r="AM54" i="23" s="1"/>
  <c r="AN54" i="23" s="1"/>
  <c r="AO54" i="23" s="1"/>
  <c r="AP54" i="23" s="1"/>
  <c r="AQ54" i="23" s="1"/>
  <c r="AR54" i="23" s="1"/>
  <c r="AS54" i="23" s="1"/>
  <c r="AT54" i="23" s="1"/>
  <c r="AU54" i="23" s="1"/>
  <c r="AV54" i="23" s="1"/>
  <c r="AW54" i="23" s="1"/>
  <c r="AX54" i="23" s="1"/>
  <c r="AY54" i="23" s="1"/>
  <c r="AZ54" i="23" s="1"/>
  <c r="BA54" i="23" s="1"/>
  <c r="BB54" i="23" s="1"/>
  <c r="BC54" i="23" s="1"/>
  <c r="BD54" i="23" s="1"/>
  <c r="BE54" i="23" s="1"/>
  <c r="BF54" i="23" s="1"/>
  <c r="BG54" i="23" s="1"/>
  <c r="BH54" i="23" s="1"/>
  <c r="BI54" i="23" s="1"/>
  <c r="BJ54" i="23" s="1"/>
  <c r="BK54" i="23" s="1"/>
  <c r="BL54" i="23" s="1"/>
  <c r="BM54" i="23" s="1"/>
  <c r="BN54" i="23" s="1"/>
  <c r="BO54" i="23" s="1"/>
  <c r="BP54" i="23" s="1"/>
  <c r="BQ54" i="23" s="1"/>
  <c r="BR54" i="23" s="1"/>
  <c r="BS54" i="23" s="1"/>
  <c r="BT54" i="23" s="1"/>
  <c r="BU54" i="23" s="1"/>
  <c r="BV54" i="23" s="1"/>
  <c r="BW54" i="23" s="1"/>
  <c r="BX54" i="23" s="1"/>
  <c r="BY54" i="23" s="1"/>
  <c r="BZ54" i="23" s="1"/>
  <c r="CA54" i="23" s="1"/>
  <c r="CB54" i="23" s="1"/>
  <c r="CC54" i="23" s="1"/>
  <c r="CD54" i="23" s="1"/>
  <c r="CE54" i="23" s="1"/>
  <c r="CF54" i="23" s="1"/>
  <c r="CG54" i="23" s="1"/>
  <c r="CH54" i="23" s="1"/>
  <c r="CI54" i="23" s="1"/>
  <c r="CJ54" i="23" s="1"/>
  <c r="CK54" i="23" s="1"/>
  <c r="CL54" i="23" s="1"/>
  <c r="CM54" i="23" s="1"/>
  <c r="CN54" i="23" s="1"/>
  <c r="CO54" i="23" s="1"/>
  <c r="CP54" i="23" s="1"/>
  <c r="AF54" i="23"/>
  <c r="G54" i="23"/>
  <c r="D54" i="23"/>
  <c r="AF53" i="23"/>
  <c r="G53" i="23"/>
  <c r="D53" i="23"/>
  <c r="AF52" i="23"/>
  <c r="G52" i="23"/>
  <c r="D52" i="23"/>
  <c r="AF51" i="23"/>
  <c r="AF50" i="23"/>
  <c r="AF49" i="23"/>
  <c r="AF48" i="23"/>
  <c r="AF47" i="23"/>
  <c r="AQ46" i="23"/>
  <c r="AF46" i="23"/>
  <c r="AF45" i="23"/>
  <c r="AF44" i="23"/>
  <c r="AF43" i="23"/>
  <c r="AF42" i="23"/>
  <c r="AF41" i="23"/>
  <c r="AF40" i="23"/>
  <c r="AF39" i="23"/>
  <c r="AF38" i="23"/>
  <c r="AF37" i="23"/>
  <c r="AF36" i="23"/>
  <c r="AF35" i="23"/>
  <c r="AF34" i="23"/>
  <c r="AF33" i="23"/>
  <c r="AF32" i="23"/>
  <c r="AF31" i="23"/>
  <c r="AF30" i="23"/>
  <c r="AF29" i="23"/>
  <c r="AF28" i="23"/>
  <c r="AF27" i="23"/>
  <c r="AF26" i="23"/>
  <c r="AF25" i="23"/>
  <c r="AF24" i="23"/>
  <c r="AF23" i="23"/>
  <c r="AF22" i="23"/>
  <c r="AF21" i="23"/>
  <c r="AF20" i="23"/>
  <c r="AF19" i="23"/>
  <c r="AF18" i="23"/>
  <c r="AF17" i="23"/>
  <c r="AF16" i="23"/>
  <c r="AF15" i="23"/>
  <c r="AF14" i="23"/>
  <c r="AF13" i="23"/>
  <c r="AF12" i="23"/>
  <c r="AF11" i="23"/>
  <c r="AF10" i="23"/>
  <c r="AF9" i="23"/>
  <c r="AF8" i="23"/>
  <c r="AF7" i="23"/>
  <c r="AF6" i="23"/>
  <c r="AF5" i="23"/>
  <c r="Z85" i="23" l="1"/>
  <c r="V86" i="23" s="1"/>
  <c r="Z160" i="23"/>
  <c r="V161" i="23" s="1"/>
  <c r="Z345" i="23"/>
  <c r="V346" i="23" s="1"/>
  <c r="W111" i="23"/>
  <c r="X111" i="23"/>
  <c r="Y111" i="23"/>
  <c r="W346" i="23"/>
  <c r="Y346" i="23"/>
  <c r="X346" i="23"/>
  <c r="W336" i="23"/>
  <c r="X336" i="23"/>
  <c r="Z336" i="23" s="1"/>
  <c r="V337" i="23" s="1"/>
  <c r="Y336" i="23"/>
  <c r="Y322" i="23"/>
  <c r="X322" i="23"/>
  <c r="W322" i="23"/>
  <c r="Z322" i="23"/>
  <c r="V323" i="23" s="1"/>
  <c r="Z310" i="23"/>
  <c r="V311" i="23" s="1"/>
  <c r="W311" i="23" s="1"/>
  <c r="X311" i="23"/>
  <c r="Y311" i="23"/>
  <c r="Y295" i="23"/>
  <c r="X295" i="23"/>
  <c r="Z295" i="23" s="1"/>
  <c r="V296" i="23" s="1"/>
  <c r="Z285" i="23"/>
  <c r="V286" i="23" s="1"/>
  <c r="X286" i="23" s="1"/>
  <c r="Z270" i="23"/>
  <c r="V271" i="23" s="1"/>
  <c r="W271" i="23" s="1"/>
  <c r="Z260" i="23"/>
  <c r="V261" i="23" s="1"/>
  <c r="W261" i="23" s="1"/>
  <c r="Y261" i="23"/>
  <c r="Z245" i="23"/>
  <c r="V246" i="23" s="1"/>
  <c r="W246" i="23" s="1"/>
  <c r="Z235" i="23"/>
  <c r="V236" i="23" s="1"/>
  <c r="W236" i="23" s="1"/>
  <c r="V221" i="23"/>
  <c r="W211" i="23"/>
  <c r="X211" i="23"/>
  <c r="Y211" i="23"/>
  <c r="Y197" i="23"/>
  <c r="X197" i="23"/>
  <c r="W197" i="23"/>
  <c r="Z197" i="23"/>
  <c r="V198" i="23" s="1"/>
  <c r="Z185" i="23"/>
  <c r="V186" i="23" s="1"/>
  <c r="W186" i="23" s="1"/>
  <c r="Y186" i="23"/>
  <c r="X172" i="23"/>
  <c r="Z172" i="23" s="1"/>
  <c r="V173" i="23" s="1"/>
  <c r="W172" i="23"/>
  <c r="Y172" i="23"/>
  <c r="W161" i="23"/>
  <c r="X161" i="23"/>
  <c r="Y161" i="23"/>
  <c r="W146" i="23"/>
  <c r="X146" i="23"/>
  <c r="Z146" i="23" s="1"/>
  <c r="V147" i="23" s="1"/>
  <c r="X147" i="23" s="1"/>
  <c r="W136" i="23"/>
  <c r="X136" i="23"/>
  <c r="Y136" i="23"/>
  <c r="Y147" i="23"/>
  <c r="V121" i="23"/>
  <c r="W96" i="23"/>
  <c r="Y96" i="23"/>
  <c r="X96" i="23"/>
  <c r="W86" i="23"/>
  <c r="Y86" i="23"/>
  <c r="X86" i="23"/>
  <c r="Z86" i="23" s="1"/>
  <c r="V87" i="23" s="1"/>
  <c r="P368" i="23"/>
  <c r="X70" i="23"/>
  <c r="W70" i="23"/>
  <c r="Y70" i="23"/>
  <c r="O368" i="23"/>
  <c r="AG2884" i="23"/>
  <c r="AG3871" i="23"/>
  <c r="AG3950" i="23"/>
  <c r="AH255" i="23"/>
  <c r="AI255" i="23" s="1"/>
  <c r="AJ255" i="23" s="1"/>
  <c r="AK255" i="23" s="1"/>
  <c r="AL255" i="23" s="1"/>
  <c r="AM255" i="23" s="1"/>
  <c r="AN255" i="23" s="1"/>
  <c r="AO255" i="23" s="1"/>
  <c r="AP255" i="23" s="1"/>
  <c r="AQ255" i="23" s="1"/>
  <c r="AR255" i="23" s="1"/>
  <c r="AS255" i="23" s="1"/>
  <c r="AT255" i="23" s="1"/>
  <c r="AU255" i="23" s="1"/>
  <c r="AV255" i="23" s="1"/>
  <c r="AW255" i="23" s="1"/>
  <c r="AX255" i="23" s="1"/>
  <c r="AY255" i="23" s="1"/>
  <c r="AZ255" i="23" s="1"/>
  <c r="BA255" i="23" s="1"/>
  <c r="BB255" i="23" s="1"/>
  <c r="BC255" i="23" s="1"/>
  <c r="BD255" i="23" s="1"/>
  <c r="BE255" i="23" s="1"/>
  <c r="BF255" i="23" s="1"/>
  <c r="BG255" i="23" s="1"/>
  <c r="BH255" i="23" s="1"/>
  <c r="BI255" i="23" s="1"/>
  <c r="BJ255" i="23" s="1"/>
  <c r="BK255" i="23" s="1"/>
  <c r="BL255" i="23" s="1"/>
  <c r="BM255" i="23" s="1"/>
  <c r="BN255" i="23" s="1"/>
  <c r="BO255" i="23" s="1"/>
  <c r="BP255" i="23" s="1"/>
  <c r="BQ255" i="23" s="1"/>
  <c r="BR255" i="23" s="1"/>
  <c r="BS255" i="23" s="1"/>
  <c r="BT255" i="23" s="1"/>
  <c r="BU255" i="23" s="1"/>
  <c r="BV255" i="23" s="1"/>
  <c r="BW255" i="23" s="1"/>
  <c r="BX255" i="23" s="1"/>
  <c r="BY255" i="23" s="1"/>
  <c r="BZ255" i="23" s="1"/>
  <c r="CA255" i="23" s="1"/>
  <c r="CB255" i="23" s="1"/>
  <c r="CC255" i="23" s="1"/>
  <c r="CD255" i="23" s="1"/>
  <c r="CE255" i="23" s="1"/>
  <c r="CF255" i="23" s="1"/>
  <c r="CG255" i="23" s="1"/>
  <c r="CH255" i="23" s="1"/>
  <c r="CI255" i="23" s="1"/>
  <c r="CJ255" i="23" s="1"/>
  <c r="CK255" i="23" s="1"/>
  <c r="CL255" i="23" s="1"/>
  <c r="CM255" i="23" s="1"/>
  <c r="CN255" i="23" s="1"/>
  <c r="CO255" i="23" s="1"/>
  <c r="CP255" i="23" s="1"/>
  <c r="N381" i="23"/>
  <c r="Z59" i="23"/>
  <c r="V60" i="23" s="1"/>
  <c r="AA328" i="23"/>
  <c r="R381" i="23"/>
  <c r="J71" i="19" s="1"/>
  <c r="N71" i="19" s="1"/>
  <c r="AH130" i="23"/>
  <c r="AI130" i="23" s="1"/>
  <c r="AJ130" i="23" s="1"/>
  <c r="AK130" i="23" s="1"/>
  <c r="AL130" i="23" s="1"/>
  <c r="AM130" i="23" s="1"/>
  <c r="AN130" i="23" s="1"/>
  <c r="AO130" i="23" s="1"/>
  <c r="AP130" i="23" s="1"/>
  <c r="AQ130" i="23" s="1"/>
  <c r="AR130" i="23" s="1"/>
  <c r="AS130" i="23" s="1"/>
  <c r="AT130" i="23" s="1"/>
  <c r="AU130" i="23" s="1"/>
  <c r="AV130" i="23" s="1"/>
  <c r="AW130" i="23" s="1"/>
  <c r="AX130" i="23" s="1"/>
  <c r="AY130" i="23" s="1"/>
  <c r="AZ130" i="23" s="1"/>
  <c r="BA130" i="23" s="1"/>
  <c r="BB130" i="23" s="1"/>
  <c r="BC130" i="23" s="1"/>
  <c r="BD130" i="23" s="1"/>
  <c r="BE130" i="23" s="1"/>
  <c r="BF130" i="23" s="1"/>
  <c r="BG130" i="23" s="1"/>
  <c r="BH130" i="23" s="1"/>
  <c r="BI130" i="23" s="1"/>
  <c r="BJ130" i="23" s="1"/>
  <c r="BK130" i="23" s="1"/>
  <c r="BL130" i="23" s="1"/>
  <c r="BM130" i="23" s="1"/>
  <c r="BN130" i="23" s="1"/>
  <c r="BO130" i="23" s="1"/>
  <c r="BP130" i="23" s="1"/>
  <c r="BQ130" i="23" s="1"/>
  <c r="BR130" i="23" s="1"/>
  <c r="BS130" i="23" s="1"/>
  <c r="BT130" i="23" s="1"/>
  <c r="BU130" i="23" s="1"/>
  <c r="BV130" i="23" s="1"/>
  <c r="BW130" i="23" s="1"/>
  <c r="BX130" i="23" s="1"/>
  <c r="BY130" i="23" s="1"/>
  <c r="BZ130" i="23" s="1"/>
  <c r="CA130" i="23" s="1"/>
  <c r="CB130" i="23" s="1"/>
  <c r="CC130" i="23" s="1"/>
  <c r="CD130" i="23" s="1"/>
  <c r="CE130" i="23" s="1"/>
  <c r="CF130" i="23" s="1"/>
  <c r="CG130" i="23" s="1"/>
  <c r="CH130" i="23" s="1"/>
  <c r="CI130" i="23" s="1"/>
  <c r="CJ130" i="23" s="1"/>
  <c r="CK130" i="23" s="1"/>
  <c r="CL130" i="23" s="1"/>
  <c r="CM130" i="23" s="1"/>
  <c r="CN130" i="23" s="1"/>
  <c r="CO130" i="23" s="1"/>
  <c r="CP130" i="23" s="1"/>
  <c r="AH155" i="23"/>
  <c r="AI155" i="23" s="1"/>
  <c r="AJ155" i="23" s="1"/>
  <c r="AK155" i="23" s="1"/>
  <c r="AL155" i="23" s="1"/>
  <c r="AM155" i="23" s="1"/>
  <c r="AN155" i="23" s="1"/>
  <c r="AO155" i="23" s="1"/>
  <c r="AP155" i="23" s="1"/>
  <c r="AQ155" i="23" s="1"/>
  <c r="AR155" i="23" s="1"/>
  <c r="AS155" i="23" s="1"/>
  <c r="AT155" i="23" s="1"/>
  <c r="AU155" i="23" s="1"/>
  <c r="AV155" i="23" s="1"/>
  <c r="AW155" i="23" s="1"/>
  <c r="AX155" i="23" s="1"/>
  <c r="AY155" i="23" s="1"/>
  <c r="AZ155" i="23" s="1"/>
  <c r="BA155" i="23" s="1"/>
  <c r="BB155" i="23" s="1"/>
  <c r="BC155" i="23" s="1"/>
  <c r="BD155" i="23" s="1"/>
  <c r="BE155" i="23" s="1"/>
  <c r="BF155" i="23" s="1"/>
  <c r="BG155" i="23" s="1"/>
  <c r="BH155" i="23" s="1"/>
  <c r="BI155" i="23" s="1"/>
  <c r="BJ155" i="23" s="1"/>
  <c r="BK155" i="23" s="1"/>
  <c r="BL155" i="23" s="1"/>
  <c r="BM155" i="23" s="1"/>
  <c r="BN155" i="23" s="1"/>
  <c r="BO155" i="23" s="1"/>
  <c r="BP155" i="23" s="1"/>
  <c r="BQ155" i="23" s="1"/>
  <c r="BR155" i="23" s="1"/>
  <c r="BS155" i="23" s="1"/>
  <c r="BT155" i="23" s="1"/>
  <c r="BU155" i="23" s="1"/>
  <c r="BV155" i="23" s="1"/>
  <c r="BW155" i="23" s="1"/>
  <c r="BX155" i="23" s="1"/>
  <c r="BY155" i="23" s="1"/>
  <c r="BZ155" i="23" s="1"/>
  <c r="CA155" i="23" s="1"/>
  <c r="CB155" i="23" s="1"/>
  <c r="CC155" i="23" s="1"/>
  <c r="CD155" i="23" s="1"/>
  <c r="CE155" i="23" s="1"/>
  <c r="CF155" i="23" s="1"/>
  <c r="CG155" i="23" s="1"/>
  <c r="CH155" i="23" s="1"/>
  <c r="CI155" i="23" s="1"/>
  <c r="CJ155" i="23" s="1"/>
  <c r="CK155" i="23" s="1"/>
  <c r="CL155" i="23" s="1"/>
  <c r="CM155" i="23" s="1"/>
  <c r="CN155" i="23" s="1"/>
  <c r="CO155" i="23" s="1"/>
  <c r="CP155" i="23" s="1"/>
  <c r="AA278" i="23"/>
  <c r="P381" i="23"/>
  <c r="AG4330" i="23"/>
  <c r="AH105" i="23"/>
  <c r="AI105" i="23" s="1"/>
  <c r="AJ105" i="23" s="1"/>
  <c r="AK105" i="23" s="1"/>
  <c r="AL105" i="23" s="1"/>
  <c r="AM105" i="23" s="1"/>
  <c r="AN105" i="23" s="1"/>
  <c r="AO105" i="23" s="1"/>
  <c r="AP105" i="23" s="1"/>
  <c r="AQ105" i="23" s="1"/>
  <c r="AR105" i="23" s="1"/>
  <c r="AS105" i="23" s="1"/>
  <c r="AT105" i="23" s="1"/>
  <c r="AU105" i="23" s="1"/>
  <c r="AV105" i="23" s="1"/>
  <c r="AW105" i="23" s="1"/>
  <c r="AX105" i="23" s="1"/>
  <c r="AY105" i="23" s="1"/>
  <c r="AZ105" i="23" s="1"/>
  <c r="BA105" i="23" s="1"/>
  <c r="BB105" i="23" s="1"/>
  <c r="BC105" i="23" s="1"/>
  <c r="BD105" i="23" s="1"/>
  <c r="BE105" i="23" s="1"/>
  <c r="BF105" i="23" s="1"/>
  <c r="BG105" i="23" s="1"/>
  <c r="BH105" i="23" s="1"/>
  <c r="BI105" i="23" s="1"/>
  <c r="BJ105" i="23" s="1"/>
  <c r="BK105" i="23" s="1"/>
  <c r="BL105" i="23" s="1"/>
  <c r="BM105" i="23" s="1"/>
  <c r="BN105" i="23" s="1"/>
  <c r="BO105" i="23" s="1"/>
  <c r="BP105" i="23" s="1"/>
  <c r="BQ105" i="23" s="1"/>
  <c r="BR105" i="23" s="1"/>
  <c r="BS105" i="23" s="1"/>
  <c r="BT105" i="23" s="1"/>
  <c r="BU105" i="23" s="1"/>
  <c r="BV105" i="23" s="1"/>
  <c r="BW105" i="23" s="1"/>
  <c r="BX105" i="23" s="1"/>
  <c r="BY105" i="23" s="1"/>
  <c r="BZ105" i="23" s="1"/>
  <c r="CA105" i="23" s="1"/>
  <c r="CB105" i="23" s="1"/>
  <c r="CC105" i="23" s="1"/>
  <c r="CD105" i="23" s="1"/>
  <c r="CE105" i="23" s="1"/>
  <c r="CF105" i="23" s="1"/>
  <c r="CG105" i="23" s="1"/>
  <c r="CH105" i="23" s="1"/>
  <c r="CI105" i="23" s="1"/>
  <c r="CJ105" i="23" s="1"/>
  <c r="CK105" i="23" s="1"/>
  <c r="CL105" i="23" s="1"/>
  <c r="CM105" i="23" s="1"/>
  <c r="CN105" i="23" s="1"/>
  <c r="CO105" i="23" s="1"/>
  <c r="CP105" i="23" s="1"/>
  <c r="B213" i="23"/>
  <c r="B212" i="23" s="1"/>
  <c r="B211" i="23" s="1"/>
  <c r="B210" i="23" s="1"/>
  <c r="B209" i="23" s="1"/>
  <c r="B208" i="23" s="1"/>
  <c r="B207" i="23" s="1"/>
  <c r="B206" i="23" s="1"/>
  <c r="B205" i="23" s="1"/>
  <c r="B204" i="23" s="1"/>
  <c r="B203" i="23" s="1"/>
  <c r="B202" i="23" s="1"/>
  <c r="O381" i="23"/>
  <c r="Q368" i="23"/>
  <c r="AA53" i="23"/>
  <c r="N368" i="23"/>
  <c r="R368" i="23"/>
  <c r="J62" i="19" s="1"/>
  <c r="N62" i="19" s="1"/>
  <c r="AG2885" i="23"/>
  <c r="AG3951" i="23"/>
  <c r="AG4331" i="23"/>
  <c r="E215" i="23"/>
  <c r="E216" i="23" s="1"/>
  <c r="E217" i="23" s="1"/>
  <c r="E218" i="23" s="1"/>
  <c r="E219" i="23" s="1"/>
  <c r="E220" i="23" s="1"/>
  <c r="E221" i="23" s="1"/>
  <c r="E222" i="23" s="1"/>
  <c r="E223" i="23" s="1"/>
  <c r="E224" i="23" s="1"/>
  <c r="E225" i="23" s="1"/>
  <c r="E226" i="23" s="1"/>
  <c r="AH80" i="23"/>
  <c r="AI80" i="23" s="1"/>
  <c r="AJ80" i="23" s="1"/>
  <c r="AK80" i="23" s="1"/>
  <c r="AL80" i="23" s="1"/>
  <c r="AM80" i="23" s="1"/>
  <c r="AN80" i="23" s="1"/>
  <c r="AO80" i="23" s="1"/>
  <c r="AP80" i="23" s="1"/>
  <c r="AQ80" i="23" s="1"/>
  <c r="AR80" i="23" s="1"/>
  <c r="AS80" i="23" s="1"/>
  <c r="AT80" i="23" s="1"/>
  <c r="AU80" i="23" s="1"/>
  <c r="AV80" i="23" s="1"/>
  <c r="AW80" i="23" s="1"/>
  <c r="AX80" i="23" s="1"/>
  <c r="AY80" i="23" s="1"/>
  <c r="AZ80" i="23" s="1"/>
  <c r="BA80" i="23" s="1"/>
  <c r="BB80" i="23" s="1"/>
  <c r="BC80" i="23" s="1"/>
  <c r="BD80" i="23" s="1"/>
  <c r="BE80" i="23" s="1"/>
  <c r="BF80" i="23" s="1"/>
  <c r="BG80" i="23" s="1"/>
  <c r="BH80" i="23" s="1"/>
  <c r="BI80" i="23" s="1"/>
  <c r="BJ80" i="23" s="1"/>
  <c r="BK80" i="23" s="1"/>
  <c r="BL80" i="23" s="1"/>
  <c r="BM80" i="23" s="1"/>
  <c r="BN80" i="23" s="1"/>
  <c r="BO80" i="23" s="1"/>
  <c r="BP80" i="23" s="1"/>
  <c r="BQ80" i="23" s="1"/>
  <c r="BR80" i="23" s="1"/>
  <c r="BS80" i="23" s="1"/>
  <c r="BT80" i="23" s="1"/>
  <c r="BU80" i="23" s="1"/>
  <c r="BV80" i="23" s="1"/>
  <c r="BW80" i="23" s="1"/>
  <c r="BX80" i="23" s="1"/>
  <c r="BY80" i="23" s="1"/>
  <c r="BZ80" i="23" s="1"/>
  <c r="CA80" i="23" s="1"/>
  <c r="CB80" i="23" s="1"/>
  <c r="CC80" i="23" s="1"/>
  <c r="CD80" i="23" s="1"/>
  <c r="CE80" i="23" s="1"/>
  <c r="CF80" i="23" s="1"/>
  <c r="CG80" i="23" s="1"/>
  <c r="CH80" i="23" s="1"/>
  <c r="CI80" i="23" s="1"/>
  <c r="CJ80" i="23" s="1"/>
  <c r="CK80" i="23" s="1"/>
  <c r="CL80" i="23" s="1"/>
  <c r="CM80" i="23" s="1"/>
  <c r="CN80" i="23" s="1"/>
  <c r="CO80" i="23" s="1"/>
  <c r="CP80" i="23" s="1"/>
  <c r="AA178" i="23"/>
  <c r="N394" i="23"/>
  <c r="R394" i="23"/>
  <c r="P394" i="23"/>
  <c r="AG3870" i="23"/>
  <c r="Q381" i="23"/>
  <c r="G214" i="23"/>
  <c r="AH230" i="23"/>
  <c r="AI230" i="23" s="1"/>
  <c r="AJ230" i="23" s="1"/>
  <c r="AK230" i="23" s="1"/>
  <c r="AL230" i="23" s="1"/>
  <c r="AM230" i="23" s="1"/>
  <c r="AN230" i="23" s="1"/>
  <c r="AO230" i="23" s="1"/>
  <c r="AP230" i="23" s="1"/>
  <c r="AQ230" i="23" s="1"/>
  <c r="AR230" i="23" s="1"/>
  <c r="AS230" i="23" s="1"/>
  <c r="AT230" i="23" s="1"/>
  <c r="AU230" i="23" s="1"/>
  <c r="AV230" i="23" s="1"/>
  <c r="AW230" i="23" s="1"/>
  <c r="AX230" i="23" s="1"/>
  <c r="AY230" i="23" s="1"/>
  <c r="AZ230" i="23" s="1"/>
  <c r="BA230" i="23" s="1"/>
  <c r="BB230" i="23" s="1"/>
  <c r="BC230" i="23" s="1"/>
  <c r="BD230" i="23" s="1"/>
  <c r="BE230" i="23" s="1"/>
  <c r="BF230" i="23" s="1"/>
  <c r="BG230" i="23" s="1"/>
  <c r="BH230" i="23" s="1"/>
  <c r="BI230" i="23" s="1"/>
  <c r="BJ230" i="23" s="1"/>
  <c r="BK230" i="23" s="1"/>
  <c r="BL230" i="23" s="1"/>
  <c r="BM230" i="23" s="1"/>
  <c r="BN230" i="23" s="1"/>
  <c r="BO230" i="23" s="1"/>
  <c r="BP230" i="23" s="1"/>
  <c r="BQ230" i="23" s="1"/>
  <c r="BR230" i="23" s="1"/>
  <c r="BS230" i="23" s="1"/>
  <c r="BT230" i="23" s="1"/>
  <c r="BU230" i="23" s="1"/>
  <c r="BV230" i="23" s="1"/>
  <c r="BW230" i="23" s="1"/>
  <c r="BX230" i="23" s="1"/>
  <c r="BY230" i="23" s="1"/>
  <c r="BZ230" i="23" s="1"/>
  <c r="CA230" i="23" s="1"/>
  <c r="CB230" i="23" s="1"/>
  <c r="CC230" i="23" s="1"/>
  <c r="CD230" i="23" s="1"/>
  <c r="CE230" i="23" s="1"/>
  <c r="CF230" i="23" s="1"/>
  <c r="CG230" i="23" s="1"/>
  <c r="CH230" i="23" s="1"/>
  <c r="CI230" i="23" s="1"/>
  <c r="CJ230" i="23" s="1"/>
  <c r="CK230" i="23" s="1"/>
  <c r="CL230" i="23" s="1"/>
  <c r="CM230" i="23" s="1"/>
  <c r="CN230" i="23" s="1"/>
  <c r="CO230" i="23" s="1"/>
  <c r="CP230" i="23" s="1"/>
  <c r="Q394" i="23"/>
  <c r="O394" i="23"/>
  <c r="H12" i="15"/>
  <c r="AH305" i="23"/>
  <c r="AI305" i="23" s="1"/>
  <c r="AJ305" i="23" s="1"/>
  <c r="AK305" i="23" s="1"/>
  <c r="AL305" i="23" s="1"/>
  <c r="AM305" i="23" s="1"/>
  <c r="AN305" i="23" s="1"/>
  <c r="AO305" i="23" s="1"/>
  <c r="AP305" i="23" s="1"/>
  <c r="AQ305" i="23" s="1"/>
  <c r="AR305" i="23" s="1"/>
  <c r="AS305" i="23" s="1"/>
  <c r="AT305" i="23" s="1"/>
  <c r="AU305" i="23" s="1"/>
  <c r="AV305" i="23" s="1"/>
  <c r="AW305" i="23" s="1"/>
  <c r="AX305" i="23" s="1"/>
  <c r="AY305" i="23" s="1"/>
  <c r="AZ305" i="23" s="1"/>
  <c r="BA305" i="23" s="1"/>
  <c r="BB305" i="23" s="1"/>
  <c r="BC305" i="23" s="1"/>
  <c r="BD305" i="23" s="1"/>
  <c r="BE305" i="23" s="1"/>
  <c r="BF305" i="23" s="1"/>
  <c r="BG305" i="23" s="1"/>
  <c r="BH305" i="23" s="1"/>
  <c r="BI305" i="23" s="1"/>
  <c r="BJ305" i="23" s="1"/>
  <c r="BK305" i="23" s="1"/>
  <c r="BL305" i="23" s="1"/>
  <c r="BM305" i="23" s="1"/>
  <c r="BN305" i="23" s="1"/>
  <c r="BO305" i="23" s="1"/>
  <c r="BP305" i="23" s="1"/>
  <c r="BQ305" i="23" s="1"/>
  <c r="BR305" i="23" s="1"/>
  <c r="BS305" i="23" s="1"/>
  <c r="BT305" i="23" s="1"/>
  <c r="BU305" i="23" s="1"/>
  <c r="BV305" i="23" s="1"/>
  <c r="BW305" i="23" s="1"/>
  <c r="BX305" i="23" s="1"/>
  <c r="BY305" i="23" s="1"/>
  <c r="BZ305" i="23" s="1"/>
  <c r="CA305" i="23" s="1"/>
  <c r="CB305" i="23" s="1"/>
  <c r="CC305" i="23" s="1"/>
  <c r="CD305" i="23" s="1"/>
  <c r="CE305" i="23" s="1"/>
  <c r="CF305" i="23" s="1"/>
  <c r="CG305" i="23" s="1"/>
  <c r="CH305" i="23" s="1"/>
  <c r="CI305" i="23" s="1"/>
  <c r="CJ305" i="23" s="1"/>
  <c r="CK305" i="23" s="1"/>
  <c r="CL305" i="23" s="1"/>
  <c r="CM305" i="23" s="1"/>
  <c r="CN305" i="23" s="1"/>
  <c r="CO305" i="23" s="1"/>
  <c r="CP305" i="23" s="1"/>
  <c r="G277" i="13"/>
  <c r="G278" i="13"/>
  <c r="G279" i="13"/>
  <c r="G280" i="13"/>
  <c r="G281" i="13"/>
  <c r="G282" i="13"/>
  <c r="G283" i="13"/>
  <c r="G284" i="13"/>
  <c r="G285" i="13"/>
  <c r="G286" i="13"/>
  <c r="G287" i="13"/>
  <c r="G288" i="13"/>
  <c r="G290" i="13"/>
  <c r="G291" i="13"/>
  <c r="G292" i="13"/>
  <c r="G293" i="13"/>
  <c r="G294" i="13"/>
  <c r="G295" i="13"/>
  <c r="G296" i="13"/>
  <c r="G297" i="13"/>
  <c r="G298" i="13"/>
  <c r="G299" i="13"/>
  <c r="G300" i="13"/>
  <c r="G301" i="13"/>
  <c r="G289" i="13"/>
  <c r="D290" i="13"/>
  <c r="D291" i="13"/>
  <c r="D292" i="13"/>
  <c r="D293" i="13"/>
  <c r="D294" i="13"/>
  <c r="D295" i="13"/>
  <c r="D296" i="13"/>
  <c r="D297" i="13"/>
  <c r="D298" i="13"/>
  <c r="D299" i="13"/>
  <c r="D300" i="13"/>
  <c r="D301" i="13"/>
  <c r="D277" i="13"/>
  <c r="D278" i="13"/>
  <c r="D279" i="13"/>
  <c r="D280" i="13"/>
  <c r="D281" i="13"/>
  <c r="D282" i="13"/>
  <c r="D283" i="13"/>
  <c r="D284" i="13"/>
  <c r="D285" i="13"/>
  <c r="D286" i="13"/>
  <c r="D287" i="13"/>
  <c r="D288" i="13"/>
  <c r="D289" i="13"/>
  <c r="G302" i="13"/>
  <c r="G303" i="13"/>
  <c r="G304" i="13"/>
  <c r="G305" i="13"/>
  <c r="G306" i="13"/>
  <c r="G307" i="13"/>
  <c r="G308" i="13"/>
  <c r="G309" i="13"/>
  <c r="G310" i="13"/>
  <c r="G311" i="13"/>
  <c r="G312" i="13"/>
  <c r="G313" i="13"/>
  <c r="G315" i="13"/>
  <c r="G316" i="13"/>
  <c r="G317" i="13"/>
  <c r="G318" i="13"/>
  <c r="G319" i="13"/>
  <c r="G320" i="13"/>
  <c r="G321" i="13"/>
  <c r="G322" i="13"/>
  <c r="G323" i="13"/>
  <c r="G324" i="13"/>
  <c r="G325" i="13"/>
  <c r="G326" i="13"/>
  <c r="G314" i="13"/>
  <c r="D314" i="13"/>
  <c r="D302" i="13"/>
  <c r="D303" i="13"/>
  <c r="D304" i="13"/>
  <c r="D305" i="13"/>
  <c r="D306" i="13"/>
  <c r="D307" i="13"/>
  <c r="D308" i="13"/>
  <c r="D309" i="13"/>
  <c r="D310" i="13"/>
  <c r="D311" i="13"/>
  <c r="D312" i="13"/>
  <c r="D313" i="13"/>
  <c r="D315" i="13"/>
  <c r="D316" i="13"/>
  <c r="D317" i="13"/>
  <c r="D318" i="13"/>
  <c r="D319" i="13"/>
  <c r="D320" i="13"/>
  <c r="D321" i="13"/>
  <c r="D322" i="13"/>
  <c r="D323" i="13"/>
  <c r="D324" i="13"/>
  <c r="D325" i="13"/>
  <c r="D326" i="13"/>
  <c r="G327" i="13"/>
  <c r="G328" i="13"/>
  <c r="G329" i="13"/>
  <c r="G330" i="13"/>
  <c r="G331" i="13"/>
  <c r="G332" i="13"/>
  <c r="G333" i="13"/>
  <c r="G334" i="13"/>
  <c r="G335" i="13"/>
  <c r="G336" i="13"/>
  <c r="G337" i="13"/>
  <c r="G338" i="13"/>
  <c r="G340" i="13"/>
  <c r="G341" i="13"/>
  <c r="G342" i="13"/>
  <c r="G343" i="13"/>
  <c r="G344" i="13"/>
  <c r="G345" i="13"/>
  <c r="G346" i="13"/>
  <c r="G347" i="13"/>
  <c r="G348" i="13"/>
  <c r="G349" i="13"/>
  <c r="G350" i="13"/>
  <c r="G351" i="13"/>
  <c r="G339" i="13"/>
  <c r="D327" i="13"/>
  <c r="D328" i="13"/>
  <c r="D329" i="13"/>
  <c r="D330" i="13"/>
  <c r="D331" i="13"/>
  <c r="D332" i="13"/>
  <c r="D333" i="13"/>
  <c r="D334" i="13"/>
  <c r="D335" i="13"/>
  <c r="D336" i="13"/>
  <c r="D337" i="13"/>
  <c r="D338" i="13"/>
  <c r="D340" i="13"/>
  <c r="D341" i="13"/>
  <c r="D342" i="13"/>
  <c r="D343" i="13"/>
  <c r="D344" i="13"/>
  <c r="D345" i="13"/>
  <c r="D346" i="13"/>
  <c r="D347" i="13"/>
  <c r="D348" i="13"/>
  <c r="D349" i="13"/>
  <c r="D350" i="13"/>
  <c r="D351" i="13"/>
  <c r="D339" i="13"/>
  <c r="B340" i="13"/>
  <c r="B341" i="13" s="1"/>
  <c r="B342" i="13" s="1"/>
  <c r="B343" i="13" s="1"/>
  <c r="B344" i="13" s="1"/>
  <c r="B345" i="13" s="1"/>
  <c r="B346" i="13" s="1"/>
  <c r="B347" i="13" s="1"/>
  <c r="B348" i="13" s="1"/>
  <c r="B349" i="13" s="1"/>
  <c r="B350" i="13" s="1"/>
  <c r="B351" i="13" s="1"/>
  <c r="E339" i="13"/>
  <c r="E340" i="13" s="1"/>
  <c r="E341" i="13" s="1"/>
  <c r="E342" i="13" s="1"/>
  <c r="E343" i="13" s="1"/>
  <c r="E344" i="13" s="1"/>
  <c r="E345" i="13" s="1"/>
  <c r="E346" i="13" s="1"/>
  <c r="E347" i="13" s="1"/>
  <c r="E348" i="13" s="1"/>
  <c r="E349" i="13" s="1"/>
  <c r="E350" i="13" s="1"/>
  <c r="E351" i="13" s="1"/>
  <c r="B338" i="13"/>
  <c r="B337" i="13" s="1"/>
  <c r="B336" i="13" s="1"/>
  <c r="B335" i="13" s="1"/>
  <c r="B334" i="13" s="1"/>
  <c r="B333" i="13" s="1"/>
  <c r="B332" i="13" s="1"/>
  <c r="B331" i="13" s="1"/>
  <c r="B330" i="13" s="1"/>
  <c r="B329" i="13" s="1"/>
  <c r="B328" i="13" s="1"/>
  <c r="B327" i="13" s="1"/>
  <c r="AF330" i="13"/>
  <c r="AG330" i="13" s="1"/>
  <c r="AH330" i="13" s="1"/>
  <c r="AI330" i="13" s="1"/>
  <c r="AJ330" i="13" s="1"/>
  <c r="AK330" i="13" s="1"/>
  <c r="AL330" i="13" s="1"/>
  <c r="AM330" i="13" s="1"/>
  <c r="AN330" i="13" s="1"/>
  <c r="AO330" i="13" s="1"/>
  <c r="AP330" i="13" s="1"/>
  <c r="AQ330" i="13" s="1"/>
  <c r="AR330" i="13" s="1"/>
  <c r="AS330" i="13" s="1"/>
  <c r="AT330" i="13" s="1"/>
  <c r="AU330" i="13" s="1"/>
  <c r="AV330" i="13" s="1"/>
  <c r="AW330" i="13" s="1"/>
  <c r="AX330" i="13" s="1"/>
  <c r="AY330" i="13" s="1"/>
  <c r="AZ330" i="13" s="1"/>
  <c r="BA330" i="13" s="1"/>
  <c r="BB330" i="13" s="1"/>
  <c r="BC330" i="13" s="1"/>
  <c r="BD330" i="13" s="1"/>
  <c r="BE330" i="13" s="1"/>
  <c r="BF330" i="13" s="1"/>
  <c r="BG330" i="13" s="1"/>
  <c r="BH330" i="13" s="1"/>
  <c r="BI330" i="13" s="1"/>
  <c r="BJ330" i="13" s="1"/>
  <c r="BK330" i="13" s="1"/>
  <c r="BL330" i="13" s="1"/>
  <c r="BM330" i="13" s="1"/>
  <c r="BN330" i="13" s="1"/>
  <c r="BO330" i="13" s="1"/>
  <c r="BP330" i="13" s="1"/>
  <c r="BQ330" i="13" s="1"/>
  <c r="BR330" i="13" s="1"/>
  <c r="BS330" i="13" s="1"/>
  <c r="BT330" i="13" s="1"/>
  <c r="BU330" i="13" s="1"/>
  <c r="BV330" i="13" s="1"/>
  <c r="BW330" i="13" s="1"/>
  <c r="BX330" i="13" s="1"/>
  <c r="BY330" i="13" s="1"/>
  <c r="BZ330" i="13" s="1"/>
  <c r="CA330" i="13" s="1"/>
  <c r="CB330" i="13" s="1"/>
  <c r="CC330" i="13" s="1"/>
  <c r="CD330" i="13" s="1"/>
  <c r="CE330" i="13" s="1"/>
  <c r="CF330" i="13" s="1"/>
  <c r="CG330" i="13" s="1"/>
  <c r="CH330" i="13" s="1"/>
  <c r="CI330" i="13" s="1"/>
  <c r="CJ330" i="13" s="1"/>
  <c r="CK330" i="13" s="1"/>
  <c r="CL330" i="13" s="1"/>
  <c r="CM330" i="13" s="1"/>
  <c r="V334" i="13"/>
  <c r="Y331" i="13"/>
  <c r="V335" i="13" s="1"/>
  <c r="B315" i="13"/>
  <c r="B316" i="13" s="1"/>
  <c r="B317" i="13" s="1"/>
  <c r="B318" i="13" s="1"/>
  <c r="B319" i="13" s="1"/>
  <c r="B320" i="13" s="1"/>
  <c r="B321" i="13" s="1"/>
  <c r="B322" i="13" s="1"/>
  <c r="B323" i="13" s="1"/>
  <c r="B324" i="13" s="1"/>
  <c r="B325" i="13" s="1"/>
  <c r="B326" i="13" s="1"/>
  <c r="E314" i="13"/>
  <c r="E313" i="13" s="1"/>
  <c r="E312" i="13" s="1"/>
  <c r="E311" i="13" s="1"/>
  <c r="E310" i="13" s="1"/>
  <c r="E309" i="13" s="1"/>
  <c r="E308" i="13" s="1"/>
  <c r="E307" i="13" s="1"/>
  <c r="E306" i="13" s="1"/>
  <c r="E305" i="13" s="1"/>
  <c r="E304" i="13" s="1"/>
  <c r="E303" i="13" s="1"/>
  <c r="E302" i="13" s="1"/>
  <c r="B313" i="13"/>
  <c r="B312" i="13" s="1"/>
  <c r="B311" i="13" s="1"/>
  <c r="B310" i="13" s="1"/>
  <c r="B309" i="13" s="1"/>
  <c r="B308" i="13" s="1"/>
  <c r="B307" i="13" s="1"/>
  <c r="B306" i="13" s="1"/>
  <c r="B305" i="13" s="1"/>
  <c r="B304" i="13" s="1"/>
  <c r="B303" i="13" s="1"/>
  <c r="B302" i="13" s="1"/>
  <c r="AE305" i="13"/>
  <c r="AF305" i="13" s="1"/>
  <c r="AG305" i="13" s="1"/>
  <c r="AH305" i="13" s="1"/>
  <c r="AI305" i="13" s="1"/>
  <c r="AJ305" i="13" s="1"/>
  <c r="AK305" i="13" s="1"/>
  <c r="AL305" i="13" s="1"/>
  <c r="AM305" i="13" s="1"/>
  <c r="AN305" i="13" s="1"/>
  <c r="AO305" i="13" s="1"/>
  <c r="AP305" i="13" s="1"/>
  <c r="AQ305" i="13" s="1"/>
  <c r="AR305" i="13" s="1"/>
  <c r="AS305" i="13" s="1"/>
  <c r="AT305" i="13" s="1"/>
  <c r="AU305" i="13" s="1"/>
  <c r="AV305" i="13" s="1"/>
  <c r="AW305" i="13" s="1"/>
  <c r="AX305" i="13" s="1"/>
  <c r="AY305" i="13" s="1"/>
  <c r="AZ305" i="13" s="1"/>
  <c r="BA305" i="13" s="1"/>
  <c r="BB305" i="13" s="1"/>
  <c r="BC305" i="13" s="1"/>
  <c r="BD305" i="13" s="1"/>
  <c r="BE305" i="13" s="1"/>
  <c r="BF305" i="13" s="1"/>
  <c r="BG305" i="13" s="1"/>
  <c r="BH305" i="13" s="1"/>
  <c r="BI305" i="13" s="1"/>
  <c r="BJ305" i="13" s="1"/>
  <c r="BK305" i="13" s="1"/>
  <c r="BL305" i="13" s="1"/>
  <c r="BM305" i="13" s="1"/>
  <c r="BN305" i="13" s="1"/>
  <c r="BO305" i="13" s="1"/>
  <c r="BP305" i="13" s="1"/>
  <c r="BQ305" i="13" s="1"/>
  <c r="BR305" i="13" s="1"/>
  <c r="BS305" i="13" s="1"/>
  <c r="BT305" i="13" s="1"/>
  <c r="BU305" i="13" s="1"/>
  <c r="BV305" i="13" s="1"/>
  <c r="BW305" i="13" s="1"/>
  <c r="BX305" i="13" s="1"/>
  <c r="BY305" i="13" s="1"/>
  <c r="BZ305" i="13" s="1"/>
  <c r="CA305" i="13" s="1"/>
  <c r="CB305" i="13" s="1"/>
  <c r="CC305" i="13" s="1"/>
  <c r="CD305" i="13" s="1"/>
  <c r="CE305" i="13" s="1"/>
  <c r="CF305" i="13" s="1"/>
  <c r="CG305" i="13" s="1"/>
  <c r="CH305" i="13" s="1"/>
  <c r="CI305" i="13" s="1"/>
  <c r="CJ305" i="13" s="1"/>
  <c r="CK305" i="13" s="1"/>
  <c r="CL305" i="13" s="1"/>
  <c r="CM305" i="13" s="1"/>
  <c r="AF304" i="13"/>
  <c r="AG304" i="13" s="1"/>
  <c r="AH304" i="13" s="1"/>
  <c r="AI304" i="13" s="1"/>
  <c r="AJ304" i="13" s="1"/>
  <c r="AK304" i="13" s="1"/>
  <c r="AL304" i="13" s="1"/>
  <c r="AM304" i="13" s="1"/>
  <c r="AN304" i="13" s="1"/>
  <c r="AO304" i="13" s="1"/>
  <c r="AP304" i="13" s="1"/>
  <c r="AQ304" i="13" s="1"/>
  <c r="AR304" i="13" s="1"/>
  <c r="AS304" i="13" s="1"/>
  <c r="AT304" i="13" s="1"/>
  <c r="AU304" i="13" s="1"/>
  <c r="AV304" i="13" s="1"/>
  <c r="AW304" i="13" s="1"/>
  <c r="AX304" i="13" s="1"/>
  <c r="AY304" i="13" s="1"/>
  <c r="AZ304" i="13" s="1"/>
  <c r="BA304" i="13" s="1"/>
  <c r="BB304" i="13" s="1"/>
  <c r="BC304" i="13" s="1"/>
  <c r="BD304" i="13" s="1"/>
  <c r="BE304" i="13" s="1"/>
  <c r="BF304" i="13" s="1"/>
  <c r="BG304" i="13" s="1"/>
  <c r="BH304" i="13" s="1"/>
  <c r="BI304" i="13" s="1"/>
  <c r="BJ304" i="13" s="1"/>
  <c r="BK304" i="13" s="1"/>
  <c r="BL304" i="13" s="1"/>
  <c r="BM304" i="13" s="1"/>
  <c r="BN304" i="13" s="1"/>
  <c r="BO304" i="13" s="1"/>
  <c r="BP304" i="13" s="1"/>
  <c r="BQ304" i="13" s="1"/>
  <c r="BR304" i="13" s="1"/>
  <c r="BS304" i="13" s="1"/>
  <c r="BT304" i="13" s="1"/>
  <c r="BU304" i="13" s="1"/>
  <c r="BV304" i="13" s="1"/>
  <c r="BW304" i="13" s="1"/>
  <c r="BX304" i="13" s="1"/>
  <c r="BY304" i="13" s="1"/>
  <c r="BZ304" i="13" s="1"/>
  <c r="CA304" i="13" s="1"/>
  <c r="CB304" i="13" s="1"/>
  <c r="CC304" i="13" s="1"/>
  <c r="CD304" i="13" s="1"/>
  <c r="CE304" i="13" s="1"/>
  <c r="CF304" i="13" s="1"/>
  <c r="CG304" i="13" s="1"/>
  <c r="CH304" i="13" s="1"/>
  <c r="CI304" i="13" s="1"/>
  <c r="CJ304" i="13" s="1"/>
  <c r="CK304" i="13" s="1"/>
  <c r="CL304" i="13" s="1"/>
  <c r="CM304" i="13" s="1"/>
  <c r="V308" i="13"/>
  <c r="Y305" i="13"/>
  <c r="V309" i="13" s="1"/>
  <c r="E289" i="13"/>
  <c r="E288" i="13" s="1"/>
  <c r="E287" i="13" s="1"/>
  <c r="E286" i="13" s="1"/>
  <c r="E285" i="13" s="1"/>
  <c r="E284" i="13" s="1"/>
  <c r="E283" i="13" s="1"/>
  <c r="E282" i="13" s="1"/>
  <c r="E281" i="13" s="1"/>
  <c r="E280" i="13" s="1"/>
  <c r="E279" i="13" s="1"/>
  <c r="E278" i="13" s="1"/>
  <c r="E277" i="13" s="1"/>
  <c r="E290" i="13"/>
  <c r="E291" i="13" s="1"/>
  <c r="E292" i="13" s="1"/>
  <c r="E293" i="13" s="1"/>
  <c r="E294" i="13" s="1"/>
  <c r="E295" i="13" s="1"/>
  <c r="E296" i="13" s="1"/>
  <c r="E297" i="13" s="1"/>
  <c r="E298" i="13" s="1"/>
  <c r="E299" i="13" s="1"/>
  <c r="E300" i="13" s="1"/>
  <c r="E301" i="13" s="1"/>
  <c r="B290" i="13"/>
  <c r="B291" i="13" s="1"/>
  <c r="B292" i="13" s="1"/>
  <c r="B293" i="13" s="1"/>
  <c r="B294" i="13" s="1"/>
  <c r="B295" i="13" s="1"/>
  <c r="B296" i="13" s="1"/>
  <c r="B297" i="13" s="1"/>
  <c r="B298" i="13" s="1"/>
  <c r="B299" i="13" s="1"/>
  <c r="B300" i="13" s="1"/>
  <c r="B301" i="13" s="1"/>
  <c r="B288" i="13"/>
  <c r="B287" i="13" s="1"/>
  <c r="B286" i="13" s="1"/>
  <c r="B285" i="13" s="1"/>
  <c r="B284" i="13" s="1"/>
  <c r="B283" i="13" s="1"/>
  <c r="B282" i="13" s="1"/>
  <c r="B281" i="13" s="1"/>
  <c r="B280" i="13" s="1"/>
  <c r="B279" i="13" s="1"/>
  <c r="B278" i="13" s="1"/>
  <c r="B277" i="13" s="1"/>
  <c r="AF279" i="13"/>
  <c r="AG279" i="13" s="1"/>
  <c r="AH279" i="13" s="1"/>
  <c r="AI279" i="13" s="1"/>
  <c r="AJ279" i="13" s="1"/>
  <c r="AK279" i="13" s="1"/>
  <c r="AL279" i="13" s="1"/>
  <c r="AM279" i="13" s="1"/>
  <c r="AN279" i="13" s="1"/>
  <c r="AO279" i="13" s="1"/>
  <c r="AP279" i="13" s="1"/>
  <c r="AQ279" i="13" s="1"/>
  <c r="AR279" i="13" s="1"/>
  <c r="AS279" i="13" s="1"/>
  <c r="AT279" i="13" s="1"/>
  <c r="AU279" i="13" s="1"/>
  <c r="AV279" i="13" s="1"/>
  <c r="AW279" i="13" s="1"/>
  <c r="AX279" i="13" s="1"/>
  <c r="AY279" i="13" s="1"/>
  <c r="AZ279" i="13" s="1"/>
  <c r="BA279" i="13" s="1"/>
  <c r="BB279" i="13" s="1"/>
  <c r="BC279" i="13" s="1"/>
  <c r="BD279" i="13" s="1"/>
  <c r="BE279" i="13" s="1"/>
  <c r="BF279" i="13" s="1"/>
  <c r="BG279" i="13" s="1"/>
  <c r="BH279" i="13" s="1"/>
  <c r="BI279" i="13" s="1"/>
  <c r="BJ279" i="13" s="1"/>
  <c r="BK279" i="13" s="1"/>
  <c r="BL279" i="13" s="1"/>
  <c r="BM279" i="13" s="1"/>
  <c r="BN279" i="13" s="1"/>
  <c r="BO279" i="13" s="1"/>
  <c r="BP279" i="13" s="1"/>
  <c r="BQ279" i="13" s="1"/>
  <c r="BR279" i="13" s="1"/>
  <c r="BS279" i="13" s="1"/>
  <c r="BT279" i="13" s="1"/>
  <c r="BU279" i="13" s="1"/>
  <c r="BV279" i="13" s="1"/>
  <c r="BW279" i="13" s="1"/>
  <c r="BX279" i="13" s="1"/>
  <c r="BY279" i="13" s="1"/>
  <c r="BZ279" i="13" s="1"/>
  <c r="CA279" i="13" s="1"/>
  <c r="CB279" i="13" s="1"/>
  <c r="CC279" i="13" s="1"/>
  <c r="CD279" i="13" s="1"/>
  <c r="CE279" i="13" s="1"/>
  <c r="CF279" i="13" s="1"/>
  <c r="CG279" i="13" s="1"/>
  <c r="CH279" i="13" s="1"/>
  <c r="CI279" i="13" s="1"/>
  <c r="CJ279" i="13" s="1"/>
  <c r="CK279" i="13" s="1"/>
  <c r="CL279" i="13" s="1"/>
  <c r="CM279" i="13" s="1"/>
  <c r="V283" i="13"/>
  <c r="Y280" i="13"/>
  <c r="V284" i="13" s="1"/>
  <c r="V209" i="13"/>
  <c r="V208" i="13"/>
  <c r="AH204" i="13"/>
  <c r="AI204" i="13" s="1"/>
  <c r="AJ204" i="13" s="1"/>
  <c r="AK204" i="13" s="1"/>
  <c r="AL204" i="13" s="1"/>
  <c r="AM204" i="13" s="1"/>
  <c r="AN204" i="13" s="1"/>
  <c r="AO204" i="13" s="1"/>
  <c r="AP204" i="13" s="1"/>
  <c r="AQ204" i="13" s="1"/>
  <c r="AR204" i="13" s="1"/>
  <c r="AS204" i="13" s="1"/>
  <c r="AT204" i="13" s="1"/>
  <c r="AU204" i="13" s="1"/>
  <c r="AV204" i="13" s="1"/>
  <c r="AW204" i="13" s="1"/>
  <c r="AX204" i="13" s="1"/>
  <c r="AY204" i="13" s="1"/>
  <c r="AZ204" i="13" s="1"/>
  <c r="BA204" i="13" s="1"/>
  <c r="BB204" i="13" s="1"/>
  <c r="BC204" i="13" s="1"/>
  <c r="BD204" i="13" s="1"/>
  <c r="BE204" i="13" s="1"/>
  <c r="BF204" i="13" s="1"/>
  <c r="BG204" i="13" s="1"/>
  <c r="BH204" i="13" s="1"/>
  <c r="BI204" i="13" s="1"/>
  <c r="BJ204" i="13" s="1"/>
  <c r="BK204" i="13" s="1"/>
  <c r="BL204" i="13" s="1"/>
  <c r="BM204" i="13" s="1"/>
  <c r="BN204" i="13" s="1"/>
  <c r="BO204" i="13" s="1"/>
  <c r="BP204" i="13" s="1"/>
  <c r="BQ204" i="13" s="1"/>
  <c r="BR204" i="13" s="1"/>
  <c r="BS204" i="13" s="1"/>
  <c r="BT204" i="13" s="1"/>
  <c r="BU204" i="13" s="1"/>
  <c r="BV204" i="13" s="1"/>
  <c r="BW204" i="13" s="1"/>
  <c r="BX204" i="13" s="1"/>
  <c r="BY204" i="13" s="1"/>
  <c r="BZ204" i="13" s="1"/>
  <c r="CA204" i="13" s="1"/>
  <c r="CB204" i="13" s="1"/>
  <c r="CC204" i="13" s="1"/>
  <c r="CD204" i="13" s="1"/>
  <c r="CE204" i="13" s="1"/>
  <c r="CF204" i="13" s="1"/>
  <c r="CG204" i="13" s="1"/>
  <c r="CH204" i="13" s="1"/>
  <c r="CI204" i="13" s="1"/>
  <c r="CJ204" i="13" s="1"/>
  <c r="CK204" i="13" s="1"/>
  <c r="CL204" i="13" s="1"/>
  <c r="CM204" i="13" s="1"/>
  <c r="AG204" i="13"/>
  <c r="AF204" i="13"/>
  <c r="D265" i="13"/>
  <c r="D266" i="13"/>
  <c r="D267" i="13"/>
  <c r="D268" i="13"/>
  <c r="D269" i="13"/>
  <c r="D270" i="13"/>
  <c r="D271" i="13"/>
  <c r="D272" i="13"/>
  <c r="D273" i="13"/>
  <c r="D274" i="13"/>
  <c r="D275" i="13"/>
  <c r="D276" i="13"/>
  <c r="D252" i="13"/>
  <c r="D253" i="13"/>
  <c r="D254" i="13"/>
  <c r="D255" i="13"/>
  <c r="D256" i="13"/>
  <c r="D257" i="13"/>
  <c r="D258" i="13"/>
  <c r="D259" i="13"/>
  <c r="D260" i="13"/>
  <c r="D261" i="13"/>
  <c r="D262" i="13"/>
  <c r="D263" i="13"/>
  <c r="D264" i="13"/>
  <c r="D240" i="13"/>
  <c r="D241" i="13"/>
  <c r="D242" i="13"/>
  <c r="D243" i="13"/>
  <c r="D244" i="13"/>
  <c r="D245" i="13"/>
  <c r="D246" i="13"/>
  <c r="D247" i="13"/>
  <c r="D248" i="13"/>
  <c r="D249" i="13"/>
  <c r="D250" i="13"/>
  <c r="D251" i="13"/>
  <c r="D227" i="13"/>
  <c r="D228" i="13"/>
  <c r="D229" i="13"/>
  <c r="D230" i="13"/>
  <c r="D231" i="13"/>
  <c r="D232" i="13"/>
  <c r="D233" i="13"/>
  <c r="D234" i="13"/>
  <c r="D235" i="13"/>
  <c r="D236" i="13"/>
  <c r="D237" i="13"/>
  <c r="D238" i="13"/>
  <c r="D239" i="13"/>
  <c r="D215" i="13"/>
  <c r="D216" i="13"/>
  <c r="D217" i="13"/>
  <c r="D218" i="13"/>
  <c r="D219" i="13"/>
  <c r="D220" i="13"/>
  <c r="D221" i="13"/>
  <c r="D222" i="13"/>
  <c r="D223" i="13"/>
  <c r="D224" i="13"/>
  <c r="D225" i="13"/>
  <c r="D226" i="13"/>
  <c r="D202" i="13"/>
  <c r="D203" i="13"/>
  <c r="D204" i="13"/>
  <c r="D205" i="13"/>
  <c r="D206" i="13"/>
  <c r="D207" i="13"/>
  <c r="D208" i="13"/>
  <c r="D209" i="13"/>
  <c r="D210" i="13"/>
  <c r="D211" i="13"/>
  <c r="D212" i="13"/>
  <c r="D213" i="13"/>
  <c r="D214" i="13"/>
  <c r="D140" i="13"/>
  <c r="D141" i="13"/>
  <c r="D142" i="13"/>
  <c r="D143" i="13"/>
  <c r="D144" i="13"/>
  <c r="D145" i="13"/>
  <c r="D146" i="13"/>
  <c r="D147" i="13"/>
  <c r="D148" i="13"/>
  <c r="D149" i="13"/>
  <c r="D150" i="13"/>
  <c r="D151" i="13"/>
  <c r="D127" i="13"/>
  <c r="D128" i="13"/>
  <c r="D129" i="13"/>
  <c r="D130" i="13"/>
  <c r="D131" i="13"/>
  <c r="D132" i="13"/>
  <c r="D133" i="13"/>
  <c r="D134" i="13"/>
  <c r="D135" i="13"/>
  <c r="D136" i="13"/>
  <c r="D137" i="13"/>
  <c r="D138" i="13"/>
  <c r="D139" i="13"/>
  <c r="D177" i="13"/>
  <c r="D178" i="13"/>
  <c r="D179" i="13"/>
  <c r="D180" i="13"/>
  <c r="D181" i="13"/>
  <c r="D182" i="13"/>
  <c r="D183" i="13"/>
  <c r="D184" i="13"/>
  <c r="D185" i="13"/>
  <c r="D186" i="13"/>
  <c r="D187" i="13"/>
  <c r="D188" i="13"/>
  <c r="D190" i="13"/>
  <c r="D191" i="13"/>
  <c r="D192" i="13"/>
  <c r="D193" i="13"/>
  <c r="D194" i="13"/>
  <c r="D195" i="13"/>
  <c r="D196" i="13"/>
  <c r="D197" i="13"/>
  <c r="D198" i="13"/>
  <c r="D199" i="13"/>
  <c r="D200" i="13"/>
  <c r="D201" i="13"/>
  <c r="D189" i="13"/>
  <c r="D165" i="13"/>
  <c r="D166" i="13"/>
  <c r="D167" i="13"/>
  <c r="D168" i="13"/>
  <c r="D169" i="13"/>
  <c r="D170" i="13"/>
  <c r="D171" i="13"/>
  <c r="D172" i="13"/>
  <c r="D173" i="13"/>
  <c r="D174" i="13"/>
  <c r="D175" i="13"/>
  <c r="D176" i="13"/>
  <c r="D152" i="13"/>
  <c r="D153" i="13"/>
  <c r="D154" i="13"/>
  <c r="D155" i="13"/>
  <c r="D156" i="13"/>
  <c r="D157" i="13"/>
  <c r="D158" i="13"/>
  <c r="D159" i="13"/>
  <c r="D160" i="13"/>
  <c r="D161" i="13"/>
  <c r="D162" i="13"/>
  <c r="D163" i="13"/>
  <c r="D164" i="13"/>
  <c r="G222" i="13"/>
  <c r="G223" i="13"/>
  <c r="G224" i="13"/>
  <c r="G225" i="13"/>
  <c r="G226" i="13"/>
  <c r="G202" i="13"/>
  <c r="G203" i="13"/>
  <c r="G204" i="13"/>
  <c r="G205" i="13"/>
  <c r="G206" i="13"/>
  <c r="G207" i="13"/>
  <c r="E214" i="13"/>
  <c r="E215" i="13" s="1"/>
  <c r="E216" i="13" s="1"/>
  <c r="E217" i="13" s="1"/>
  <c r="E218" i="13" s="1"/>
  <c r="E219" i="13" s="1"/>
  <c r="E220" i="13" s="1"/>
  <c r="E221" i="13" s="1"/>
  <c r="E222" i="13" s="1"/>
  <c r="E223" i="13" s="1"/>
  <c r="E224" i="13" s="1"/>
  <c r="E225" i="13" s="1"/>
  <c r="E226" i="13" s="1"/>
  <c r="B214" i="13"/>
  <c r="B215" i="13" s="1"/>
  <c r="B216" i="13" s="1"/>
  <c r="B217" i="13" s="1"/>
  <c r="B218" i="13" s="1"/>
  <c r="B219" i="13" s="1"/>
  <c r="B220" i="13" s="1"/>
  <c r="B221" i="13" s="1"/>
  <c r="B222" i="13" s="1"/>
  <c r="B223" i="13" s="1"/>
  <c r="B224" i="13" s="1"/>
  <c r="B225" i="13" s="1"/>
  <c r="B226" i="13" s="1"/>
  <c r="Q395" i="23" l="1"/>
  <c r="J90" i="19"/>
  <c r="N90" i="19" s="1"/>
  <c r="Q382" i="23"/>
  <c r="J70" i="19"/>
  <c r="N70" i="19" s="1"/>
  <c r="N395" i="23"/>
  <c r="J87" i="19"/>
  <c r="N87" i="19" s="1"/>
  <c r="N369" i="23"/>
  <c r="J58" i="19"/>
  <c r="N58" i="19" s="1"/>
  <c r="X186" i="23"/>
  <c r="Y246" i="23"/>
  <c r="Z111" i="23"/>
  <c r="V112" i="23" s="1"/>
  <c r="X246" i="23"/>
  <c r="Z346" i="23"/>
  <c r="V347" i="23" s="1"/>
  <c r="P395" i="23"/>
  <c r="J89" i="19"/>
  <c r="N89" i="19" s="1"/>
  <c r="Q369" i="23"/>
  <c r="J61" i="19"/>
  <c r="N61" i="19" s="1"/>
  <c r="N382" i="23"/>
  <c r="J67" i="19"/>
  <c r="N67" i="19" s="1"/>
  <c r="E213" i="13"/>
  <c r="E212" i="13" s="1"/>
  <c r="E211" i="13" s="1"/>
  <c r="E210" i="13" s="1"/>
  <c r="E209" i="13" s="1"/>
  <c r="E208" i="13" s="1"/>
  <c r="E207" i="13" s="1"/>
  <c r="E206" i="13" s="1"/>
  <c r="E205" i="13" s="1"/>
  <c r="E204" i="13" s="1"/>
  <c r="E203" i="13" s="1"/>
  <c r="E202" i="13" s="1"/>
  <c r="G215" i="13" s="1"/>
  <c r="O395" i="23"/>
  <c r="J88" i="19"/>
  <c r="N88" i="19" s="1"/>
  <c r="R395" i="23"/>
  <c r="J91" i="19"/>
  <c r="N91" i="19" s="1"/>
  <c r="O382" i="23"/>
  <c r="J68" i="19"/>
  <c r="N68" i="19" s="1"/>
  <c r="P382" i="23"/>
  <c r="J69" i="19"/>
  <c r="N69" i="19" s="1"/>
  <c r="O369" i="23"/>
  <c r="J59" i="19"/>
  <c r="N59" i="19" s="1"/>
  <c r="P369" i="23"/>
  <c r="J60" i="19"/>
  <c r="N60" i="19" s="1"/>
  <c r="R382" i="23"/>
  <c r="K12" i="15"/>
  <c r="R369" i="23"/>
  <c r="I12" i="15"/>
  <c r="Y347" i="23"/>
  <c r="X347" i="23"/>
  <c r="W347" i="23"/>
  <c r="Y337" i="23"/>
  <c r="W337" i="23"/>
  <c r="X337" i="23"/>
  <c r="Z337" i="23" s="1"/>
  <c r="V338" i="23" s="1"/>
  <c r="X323" i="23"/>
  <c r="W323" i="23"/>
  <c r="Y323" i="23"/>
  <c r="Z311" i="23"/>
  <c r="V312" i="23" s="1"/>
  <c r="W286" i="23"/>
  <c r="Y286" i="23"/>
  <c r="Z286" i="23" s="1"/>
  <c r="V287" i="23" s="1"/>
  <c r="Y287" i="23" s="1"/>
  <c r="W296" i="23"/>
  <c r="X296" i="23"/>
  <c r="Y296" i="23"/>
  <c r="Y271" i="23"/>
  <c r="X271" i="23"/>
  <c r="X261" i="23"/>
  <c r="Z261" i="23"/>
  <c r="V262" i="23" s="1"/>
  <c r="Z246" i="23"/>
  <c r="V247" i="23" s="1"/>
  <c r="Y247" i="23" s="1"/>
  <c r="Y236" i="23"/>
  <c r="X236" i="23"/>
  <c r="W221" i="23"/>
  <c r="X221" i="23"/>
  <c r="Y221" i="23"/>
  <c r="Z211" i="23"/>
  <c r="V212" i="23" s="1"/>
  <c r="W212" i="23" s="1"/>
  <c r="X198" i="23"/>
  <c r="W198" i="23"/>
  <c r="Y198" i="23"/>
  <c r="Z186" i="23"/>
  <c r="V187" i="23" s="1"/>
  <c r="W173" i="23"/>
  <c r="Y173" i="23"/>
  <c r="X173" i="23"/>
  <c r="Z173" i="23" s="1"/>
  <c r="V174" i="23" s="1"/>
  <c r="Z161" i="23"/>
  <c r="V162" i="23" s="1"/>
  <c r="X162" i="23" s="1"/>
  <c r="Z162" i="23" s="1"/>
  <c r="V163" i="23" s="1"/>
  <c r="Y162" i="23"/>
  <c r="W147" i="23"/>
  <c r="Z147" i="23"/>
  <c r="V148" i="23" s="1"/>
  <c r="X148" i="23" s="1"/>
  <c r="Z136" i="23"/>
  <c r="V137" i="23" s="1"/>
  <c r="W121" i="23"/>
  <c r="X121" i="23"/>
  <c r="Z121" i="23" s="1"/>
  <c r="V122" i="23" s="1"/>
  <c r="Y121" i="23"/>
  <c r="Z96" i="23"/>
  <c r="V97" i="23" s="1"/>
  <c r="X97" i="23" s="1"/>
  <c r="Z97" i="23" s="1"/>
  <c r="V98" i="23" s="1"/>
  <c r="Y97" i="23"/>
  <c r="W97" i="23"/>
  <c r="X87" i="23"/>
  <c r="W87" i="23"/>
  <c r="Y87" i="23"/>
  <c r="G12" i="15"/>
  <c r="Z70" i="23"/>
  <c r="V71" i="23" s="1"/>
  <c r="W71" i="23" s="1"/>
  <c r="Y71" i="23"/>
  <c r="X60" i="23"/>
  <c r="W60" i="23"/>
  <c r="G212" i="23"/>
  <c r="G217" i="23"/>
  <c r="J12" i="15"/>
  <c r="Y60" i="23"/>
  <c r="G219" i="23"/>
  <c r="G216" i="23"/>
  <c r="G221" i="23"/>
  <c r="G218" i="23"/>
  <c r="G220" i="23"/>
  <c r="G208" i="23"/>
  <c r="G211" i="23"/>
  <c r="G209" i="23"/>
  <c r="G213" i="23"/>
  <c r="G210" i="23"/>
  <c r="G215" i="23"/>
  <c r="AE331" i="13"/>
  <c r="AF331" i="13" s="1"/>
  <c r="AG331" i="13" s="1"/>
  <c r="AH331" i="13" s="1"/>
  <c r="AI331" i="13" s="1"/>
  <c r="AJ331" i="13" s="1"/>
  <c r="AK331" i="13" s="1"/>
  <c r="AL331" i="13" s="1"/>
  <c r="AM331" i="13" s="1"/>
  <c r="AN331" i="13" s="1"/>
  <c r="AO331" i="13" s="1"/>
  <c r="AP331" i="13" s="1"/>
  <c r="AQ331" i="13" s="1"/>
  <c r="AR331" i="13" s="1"/>
  <c r="AS331" i="13" s="1"/>
  <c r="AT331" i="13" s="1"/>
  <c r="AU331" i="13" s="1"/>
  <c r="AV331" i="13" s="1"/>
  <c r="AW331" i="13" s="1"/>
  <c r="AX331" i="13" s="1"/>
  <c r="AY331" i="13" s="1"/>
  <c r="AZ331" i="13" s="1"/>
  <c r="BA331" i="13" s="1"/>
  <c r="BB331" i="13" s="1"/>
  <c r="BC331" i="13" s="1"/>
  <c r="BD331" i="13" s="1"/>
  <c r="BE331" i="13" s="1"/>
  <c r="BF331" i="13" s="1"/>
  <c r="BG331" i="13" s="1"/>
  <c r="BH331" i="13" s="1"/>
  <c r="BI331" i="13" s="1"/>
  <c r="BJ331" i="13" s="1"/>
  <c r="BK331" i="13" s="1"/>
  <c r="BL331" i="13" s="1"/>
  <c r="BM331" i="13" s="1"/>
  <c r="BN331" i="13" s="1"/>
  <c r="BO331" i="13" s="1"/>
  <c r="BP331" i="13" s="1"/>
  <c r="BQ331" i="13" s="1"/>
  <c r="BR331" i="13" s="1"/>
  <c r="BS331" i="13" s="1"/>
  <c r="BT331" i="13" s="1"/>
  <c r="BU331" i="13" s="1"/>
  <c r="BV331" i="13" s="1"/>
  <c r="BW331" i="13" s="1"/>
  <c r="BX331" i="13" s="1"/>
  <c r="BY331" i="13" s="1"/>
  <c r="BZ331" i="13" s="1"/>
  <c r="CA331" i="13" s="1"/>
  <c r="CB331" i="13" s="1"/>
  <c r="CC331" i="13" s="1"/>
  <c r="CD331" i="13" s="1"/>
  <c r="CE331" i="13" s="1"/>
  <c r="CF331" i="13" s="1"/>
  <c r="CG331" i="13" s="1"/>
  <c r="CH331" i="13" s="1"/>
  <c r="CI331" i="13" s="1"/>
  <c r="CJ331" i="13" s="1"/>
  <c r="CK331" i="13" s="1"/>
  <c r="CL331" i="13" s="1"/>
  <c r="CM331" i="13" s="1"/>
  <c r="AE280" i="13"/>
  <c r="AF280" i="13" s="1"/>
  <c r="AG280" i="13" s="1"/>
  <c r="AH280" i="13" s="1"/>
  <c r="AI280" i="13" s="1"/>
  <c r="AJ280" i="13" s="1"/>
  <c r="AK280" i="13" s="1"/>
  <c r="AL280" i="13" s="1"/>
  <c r="AM280" i="13" s="1"/>
  <c r="AN280" i="13" s="1"/>
  <c r="AO280" i="13" s="1"/>
  <c r="AP280" i="13" s="1"/>
  <c r="AQ280" i="13" s="1"/>
  <c r="AR280" i="13" s="1"/>
  <c r="AS280" i="13" s="1"/>
  <c r="AT280" i="13" s="1"/>
  <c r="AU280" i="13" s="1"/>
  <c r="AV280" i="13" s="1"/>
  <c r="AW280" i="13" s="1"/>
  <c r="AX280" i="13" s="1"/>
  <c r="AY280" i="13" s="1"/>
  <c r="AZ280" i="13" s="1"/>
  <c r="BA280" i="13" s="1"/>
  <c r="BB280" i="13" s="1"/>
  <c r="BC280" i="13" s="1"/>
  <c r="BD280" i="13" s="1"/>
  <c r="BE280" i="13" s="1"/>
  <c r="BF280" i="13" s="1"/>
  <c r="BG280" i="13" s="1"/>
  <c r="BH280" i="13" s="1"/>
  <c r="BI280" i="13" s="1"/>
  <c r="BJ280" i="13" s="1"/>
  <c r="BK280" i="13" s="1"/>
  <c r="BL280" i="13" s="1"/>
  <c r="BM280" i="13" s="1"/>
  <c r="BN280" i="13" s="1"/>
  <c r="BO280" i="13" s="1"/>
  <c r="BP280" i="13" s="1"/>
  <c r="BQ280" i="13" s="1"/>
  <c r="BR280" i="13" s="1"/>
  <c r="BS280" i="13" s="1"/>
  <c r="BT280" i="13" s="1"/>
  <c r="BU280" i="13" s="1"/>
  <c r="BV280" i="13" s="1"/>
  <c r="BW280" i="13" s="1"/>
  <c r="BX280" i="13" s="1"/>
  <c r="BY280" i="13" s="1"/>
  <c r="BZ280" i="13" s="1"/>
  <c r="CA280" i="13" s="1"/>
  <c r="CB280" i="13" s="1"/>
  <c r="CC280" i="13" s="1"/>
  <c r="CD280" i="13" s="1"/>
  <c r="CE280" i="13" s="1"/>
  <c r="CF280" i="13" s="1"/>
  <c r="CG280" i="13" s="1"/>
  <c r="CH280" i="13" s="1"/>
  <c r="CI280" i="13" s="1"/>
  <c r="CJ280" i="13" s="1"/>
  <c r="CK280" i="13" s="1"/>
  <c r="CL280" i="13" s="1"/>
  <c r="CM280" i="13" s="1"/>
  <c r="E338" i="13"/>
  <c r="E337" i="13" s="1"/>
  <c r="E336" i="13" s="1"/>
  <c r="E335" i="13" s="1"/>
  <c r="E334" i="13" s="1"/>
  <c r="E333" i="13" s="1"/>
  <c r="E332" i="13" s="1"/>
  <c r="E331" i="13" s="1"/>
  <c r="E330" i="13" s="1"/>
  <c r="E329" i="13" s="1"/>
  <c r="E328" i="13" s="1"/>
  <c r="E327" i="13" s="1"/>
  <c r="E315" i="13"/>
  <c r="E316" i="13" s="1"/>
  <c r="E317" i="13" s="1"/>
  <c r="E318" i="13" s="1"/>
  <c r="E319" i="13" s="1"/>
  <c r="E320" i="13" s="1"/>
  <c r="E321" i="13" s="1"/>
  <c r="E322" i="13" s="1"/>
  <c r="E323" i="13" s="1"/>
  <c r="E324" i="13" s="1"/>
  <c r="E325" i="13" s="1"/>
  <c r="E326" i="13" s="1"/>
  <c r="B213" i="13"/>
  <c r="B212" i="13" s="1"/>
  <c r="B211" i="13" s="1"/>
  <c r="B210" i="13" s="1"/>
  <c r="B209" i="13" s="1"/>
  <c r="B208" i="13" s="1"/>
  <c r="B207" i="13" s="1"/>
  <c r="B206" i="13" s="1"/>
  <c r="B205" i="13" s="1"/>
  <c r="B204" i="13" s="1"/>
  <c r="B203" i="13" s="1"/>
  <c r="B202" i="13" s="1"/>
  <c r="G221" i="13" l="1"/>
  <c r="G216" i="13"/>
  <c r="G219" i="13"/>
  <c r="G218" i="13"/>
  <c r="G220" i="13"/>
  <c r="G217" i="13"/>
  <c r="G210" i="13"/>
  <c r="G209" i="13"/>
  <c r="G211" i="13"/>
  <c r="G212" i="13"/>
  <c r="G214" i="13"/>
  <c r="G208" i="13"/>
  <c r="G213" i="13"/>
  <c r="Y148" i="23"/>
  <c r="W162" i="23"/>
  <c r="Y112" i="23"/>
  <c r="W112" i="23"/>
  <c r="X112" i="23"/>
  <c r="Z112" i="23" s="1"/>
  <c r="V113" i="23" s="1"/>
  <c r="X247" i="23"/>
  <c r="Z271" i="23"/>
  <c r="V272" i="23" s="1"/>
  <c r="Z323" i="23"/>
  <c r="V324" i="23" s="1"/>
  <c r="Z347" i="23"/>
  <c r="V348" i="23" s="1"/>
  <c r="X338" i="23"/>
  <c r="Y338" i="23"/>
  <c r="W338" i="23"/>
  <c r="W324" i="23"/>
  <c r="Y324" i="23"/>
  <c r="X324" i="23"/>
  <c r="Z324" i="23" s="1"/>
  <c r="V325" i="23" s="1"/>
  <c r="Y312" i="23"/>
  <c r="W312" i="23"/>
  <c r="X312" i="23"/>
  <c r="Z296" i="23"/>
  <c r="V297" i="23" s="1"/>
  <c r="X297" i="23" s="1"/>
  <c r="W287" i="23"/>
  <c r="X287" i="23"/>
  <c r="Z287" i="23" s="1"/>
  <c r="V288" i="23" s="1"/>
  <c r="Y272" i="23"/>
  <c r="X272" i="23"/>
  <c r="W272" i="23"/>
  <c r="Y262" i="23"/>
  <c r="X262" i="23"/>
  <c r="Z262" i="23" s="1"/>
  <c r="V263" i="23" s="1"/>
  <c r="W262" i="23"/>
  <c r="W247" i="23"/>
  <c r="Z247" i="23"/>
  <c r="V248" i="23" s="1"/>
  <c r="Z236" i="23"/>
  <c r="V237" i="23" s="1"/>
  <c r="X237" i="23" s="1"/>
  <c r="Z221" i="23"/>
  <c r="Y212" i="23"/>
  <c r="X212" i="23"/>
  <c r="Z212" i="23" s="1"/>
  <c r="V213" i="23" s="1"/>
  <c r="X213" i="23" s="1"/>
  <c r="V222" i="23"/>
  <c r="Z198" i="23"/>
  <c r="V199" i="23" s="1"/>
  <c r="W199" i="23" s="1"/>
  <c r="Y187" i="23"/>
  <c r="W187" i="23"/>
  <c r="X187" i="23"/>
  <c r="Z187" i="23" s="1"/>
  <c r="V188" i="23" s="1"/>
  <c r="Y174" i="23"/>
  <c r="X174" i="23"/>
  <c r="Z174" i="23" s="1"/>
  <c r="W174" i="23"/>
  <c r="X163" i="23"/>
  <c r="Y163" i="23"/>
  <c r="W163" i="23"/>
  <c r="Z148" i="23"/>
  <c r="V149" i="23" s="1"/>
  <c r="W148" i="23"/>
  <c r="W137" i="23"/>
  <c r="Y137" i="23"/>
  <c r="X137" i="23"/>
  <c r="W149" i="23"/>
  <c r="Y149" i="23"/>
  <c r="X149" i="23"/>
  <c r="Z149" i="23" s="1"/>
  <c r="V150" i="23" s="1"/>
  <c r="W122" i="23"/>
  <c r="X122" i="23"/>
  <c r="Z122" i="23" s="1"/>
  <c r="Y122" i="23"/>
  <c r="Y98" i="23"/>
  <c r="W98" i="23"/>
  <c r="X98" i="23"/>
  <c r="Z87" i="23"/>
  <c r="V88" i="23" s="1"/>
  <c r="X71" i="23"/>
  <c r="Z71" i="23" s="1"/>
  <c r="V72" i="23" s="1"/>
  <c r="Z60" i="23"/>
  <c r="V61" i="23" s="1"/>
  <c r="D115" i="13"/>
  <c r="D116" i="13"/>
  <c r="D117" i="13"/>
  <c r="D118" i="13"/>
  <c r="D119" i="13"/>
  <c r="D120" i="13"/>
  <c r="D121" i="13"/>
  <c r="D122" i="13"/>
  <c r="D123" i="13"/>
  <c r="D124" i="13"/>
  <c r="D125" i="13"/>
  <c r="D126" i="13"/>
  <c r="D102" i="13"/>
  <c r="D103" i="13"/>
  <c r="D104" i="13"/>
  <c r="D105" i="13"/>
  <c r="D106" i="13"/>
  <c r="D107" i="13"/>
  <c r="D108" i="13"/>
  <c r="D109" i="13"/>
  <c r="D110" i="13"/>
  <c r="D111" i="13"/>
  <c r="D112" i="13"/>
  <c r="D113" i="13"/>
  <c r="D114" i="13"/>
  <c r="D90" i="13"/>
  <c r="D91" i="13"/>
  <c r="D92" i="13"/>
  <c r="D93" i="13"/>
  <c r="D94" i="13"/>
  <c r="D95" i="13"/>
  <c r="D96" i="13"/>
  <c r="D97" i="13"/>
  <c r="D98" i="13"/>
  <c r="D99" i="13"/>
  <c r="D100" i="13"/>
  <c r="D101" i="13"/>
  <c r="D77" i="13"/>
  <c r="D78" i="13"/>
  <c r="D79" i="13"/>
  <c r="D80" i="13"/>
  <c r="D81" i="13"/>
  <c r="D82" i="13"/>
  <c r="D83" i="13"/>
  <c r="D84" i="13"/>
  <c r="D85" i="13"/>
  <c r="D86" i="13"/>
  <c r="D87" i="13"/>
  <c r="D88" i="13"/>
  <c r="D89" i="13"/>
  <c r="D65" i="13"/>
  <c r="D66" i="13"/>
  <c r="D67" i="13"/>
  <c r="D68" i="13"/>
  <c r="D69" i="13"/>
  <c r="D70" i="13"/>
  <c r="D71" i="13"/>
  <c r="D72" i="13"/>
  <c r="D73" i="13"/>
  <c r="D74" i="13"/>
  <c r="D75" i="13"/>
  <c r="D76" i="13"/>
  <c r="D52" i="13"/>
  <c r="D53" i="13"/>
  <c r="D54" i="13"/>
  <c r="D55" i="13"/>
  <c r="D56" i="13"/>
  <c r="D57" i="13"/>
  <c r="D58" i="13"/>
  <c r="D59" i="13"/>
  <c r="D60" i="13"/>
  <c r="D61" i="13"/>
  <c r="D62" i="13"/>
  <c r="D63" i="13"/>
  <c r="D64" i="13"/>
  <c r="G265" i="13"/>
  <c r="G266" i="13"/>
  <c r="G267" i="13"/>
  <c r="G268" i="13"/>
  <c r="G269" i="13"/>
  <c r="G270" i="13"/>
  <c r="G271" i="13"/>
  <c r="G272" i="13"/>
  <c r="G273" i="13"/>
  <c r="G274" i="13"/>
  <c r="G275" i="13"/>
  <c r="G276" i="13"/>
  <c r="G252" i="13"/>
  <c r="G253" i="13"/>
  <c r="G254" i="13"/>
  <c r="G255" i="13"/>
  <c r="G256" i="13"/>
  <c r="G257" i="13"/>
  <c r="G258" i="13"/>
  <c r="G259" i="13"/>
  <c r="G260" i="13"/>
  <c r="G261" i="13"/>
  <c r="G262" i="13"/>
  <c r="G263" i="13"/>
  <c r="G264" i="13"/>
  <c r="G240" i="13"/>
  <c r="G241" i="13"/>
  <c r="G242" i="13"/>
  <c r="G243" i="13"/>
  <c r="G244" i="13"/>
  <c r="G245" i="13"/>
  <c r="G246" i="13"/>
  <c r="G247" i="13"/>
  <c r="G248" i="13"/>
  <c r="G249" i="13"/>
  <c r="G250" i="13"/>
  <c r="G251" i="13"/>
  <c r="G227" i="13"/>
  <c r="G228" i="13"/>
  <c r="G229" i="13"/>
  <c r="G230" i="13"/>
  <c r="G231" i="13"/>
  <c r="G232" i="13"/>
  <c r="G233" i="13"/>
  <c r="G234" i="13"/>
  <c r="G235" i="13"/>
  <c r="G236" i="13"/>
  <c r="G237" i="13"/>
  <c r="G238" i="13"/>
  <c r="G239" i="13"/>
  <c r="G190" i="13"/>
  <c r="G191" i="13"/>
  <c r="G192" i="13"/>
  <c r="G193" i="13"/>
  <c r="G194" i="13"/>
  <c r="G195" i="13"/>
  <c r="G196" i="13"/>
  <c r="G197" i="13"/>
  <c r="G198" i="13"/>
  <c r="G199" i="13"/>
  <c r="G200" i="13"/>
  <c r="G201" i="13"/>
  <c r="G177" i="13"/>
  <c r="G178" i="13"/>
  <c r="G179" i="13"/>
  <c r="G180" i="13"/>
  <c r="G181" i="13"/>
  <c r="G182" i="13"/>
  <c r="G183" i="13"/>
  <c r="G184" i="13"/>
  <c r="G185" i="13"/>
  <c r="G186" i="13"/>
  <c r="G187" i="13"/>
  <c r="G188" i="13"/>
  <c r="G189" i="13"/>
  <c r="G165" i="13"/>
  <c r="G166" i="13"/>
  <c r="G167" i="13"/>
  <c r="G168" i="13"/>
  <c r="G169" i="13"/>
  <c r="G170" i="13"/>
  <c r="G171" i="13"/>
  <c r="G172" i="13"/>
  <c r="G173" i="13"/>
  <c r="G174" i="13"/>
  <c r="G175" i="13"/>
  <c r="G176" i="13"/>
  <c r="G152" i="13"/>
  <c r="G153" i="13"/>
  <c r="G154" i="13"/>
  <c r="G155" i="13"/>
  <c r="G156" i="13"/>
  <c r="G157" i="13"/>
  <c r="G158" i="13"/>
  <c r="G159" i="13"/>
  <c r="G160" i="13"/>
  <c r="G161" i="13"/>
  <c r="G162" i="13"/>
  <c r="G163" i="13"/>
  <c r="G164" i="13"/>
  <c r="G140" i="13"/>
  <c r="G141" i="13"/>
  <c r="G142" i="13"/>
  <c r="G143" i="13"/>
  <c r="G144" i="13"/>
  <c r="G145" i="13"/>
  <c r="G146" i="13"/>
  <c r="G147" i="13"/>
  <c r="G148" i="13"/>
  <c r="G149" i="13"/>
  <c r="G150" i="13"/>
  <c r="G151" i="13"/>
  <c r="G127" i="13"/>
  <c r="G128" i="13"/>
  <c r="G129" i="13"/>
  <c r="G130" i="13"/>
  <c r="G131" i="13"/>
  <c r="G132" i="13"/>
  <c r="G133" i="13"/>
  <c r="G134" i="13"/>
  <c r="G135" i="13"/>
  <c r="G136" i="13"/>
  <c r="G137" i="13"/>
  <c r="G138" i="13"/>
  <c r="G139" i="13"/>
  <c r="G115" i="13"/>
  <c r="G116" i="13"/>
  <c r="G117" i="13"/>
  <c r="G118" i="13"/>
  <c r="G119" i="13"/>
  <c r="G120" i="13"/>
  <c r="G121" i="13"/>
  <c r="G122" i="13"/>
  <c r="G123" i="13"/>
  <c r="G124" i="13"/>
  <c r="G125" i="13"/>
  <c r="G126" i="13"/>
  <c r="G102" i="13"/>
  <c r="G103" i="13"/>
  <c r="G104" i="13"/>
  <c r="G105" i="13"/>
  <c r="G106" i="13"/>
  <c r="G107" i="13"/>
  <c r="G108" i="13"/>
  <c r="G109" i="13"/>
  <c r="G110" i="13"/>
  <c r="G111" i="13"/>
  <c r="G112" i="13"/>
  <c r="G113" i="13"/>
  <c r="G114" i="13"/>
  <c r="G90" i="13"/>
  <c r="G91" i="13"/>
  <c r="G92" i="13"/>
  <c r="G93" i="13"/>
  <c r="G94" i="13"/>
  <c r="G95" i="13"/>
  <c r="G96" i="13"/>
  <c r="G97" i="13"/>
  <c r="G98" i="13"/>
  <c r="G99" i="13"/>
  <c r="G100" i="13"/>
  <c r="G101" i="13"/>
  <c r="G77" i="13"/>
  <c r="G78" i="13"/>
  <c r="G79" i="13"/>
  <c r="G80" i="13"/>
  <c r="G81" i="13"/>
  <c r="G82" i="13"/>
  <c r="G83" i="13"/>
  <c r="G84" i="13"/>
  <c r="G85" i="13"/>
  <c r="G86" i="13"/>
  <c r="G87" i="13"/>
  <c r="G88" i="13"/>
  <c r="G89" i="13"/>
  <c r="G65" i="13"/>
  <c r="G66" i="13"/>
  <c r="G67" i="13"/>
  <c r="G68" i="13"/>
  <c r="G69" i="13"/>
  <c r="G70" i="13"/>
  <c r="G71" i="13"/>
  <c r="G72" i="13"/>
  <c r="G73" i="13"/>
  <c r="G74" i="13"/>
  <c r="G75" i="13"/>
  <c r="G76" i="13"/>
  <c r="G52" i="13"/>
  <c r="G53" i="13"/>
  <c r="G54" i="13"/>
  <c r="G55" i="13"/>
  <c r="G56" i="13"/>
  <c r="G57" i="13"/>
  <c r="G58" i="13"/>
  <c r="G59" i="13"/>
  <c r="G60" i="13"/>
  <c r="G61" i="13"/>
  <c r="G62" i="13"/>
  <c r="G63" i="13"/>
  <c r="G64" i="13"/>
  <c r="E265" i="13"/>
  <c r="E266" i="13" s="1"/>
  <c r="E267" i="13" s="1"/>
  <c r="E268" i="13" s="1"/>
  <c r="E269" i="13" s="1"/>
  <c r="E270" i="13" s="1"/>
  <c r="E271" i="13" s="1"/>
  <c r="E272" i="13" s="1"/>
  <c r="E273" i="13" s="1"/>
  <c r="E274" i="13" s="1"/>
  <c r="E275" i="13" s="1"/>
  <c r="E276" i="13" s="1"/>
  <c r="E263" i="13"/>
  <c r="E262" i="13" s="1"/>
  <c r="E261" i="13" s="1"/>
  <c r="E260" i="13" s="1"/>
  <c r="E259" i="13" s="1"/>
  <c r="E258" i="13" s="1"/>
  <c r="E257" i="13" s="1"/>
  <c r="E256" i="13" s="1"/>
  <c r="E255" i="13" s="1"/>
  <c r="E254" i="13" s="1"/>
  <c r="E253" i="13" s="1"/>
  <c r="E252" i="13" s="1"/>
  <c r="E240" i="13"/>
  <c r="E241" i="13" s="1"/>
  <c r="E242" i="13" s="1"/>
  <c r="E243" i="13" s="1"/>
  <c r="E244" i="13" s="1"/>
  <c r="E245" i="13" s="1"/>
  <c r="E246" i="13" s="1"/>
  <c r="E247" i="13" s="1"/>
  <c r="E248" i="13" s="1"/>
  <c r="E249" i="13" s="1"/>
  <c r="E250" i="13" s="1"/>
  <c r="E251" i="13" s="1"/>
  <c r="E238" i="13"/>
  <c r="E237" i="13" s="1"/>
  <c r="E236" i="13" s="1"/>
  <c r="E235" i="13" s="1"/>
  <c r="E234" i="13" s="1"/>
  <c r="E233" i="13" s="1"/>
  <c r="E232" i="13" s="1"/>
  <c r="E231" i="13" s="1"/>
  <c r="E230" i="13" s="1"/>
  <c r="E229" i="13" s="1"/>
  <c r="E228" i="13" s="1"/>
  <c r="E227" i="13" s="1"/>
  <c r="E190" i="13"/>
  <c r="E191" i="13" s="1"/>
  <c r="E192" i="13" s="1"/>
  <c r="E193" i="13" s="1"/>
  <c r="E194" i="13" s="1"/>
  <c r="E195" i="13" s="1"/>
  <c r="E196" i="13" s="1"/>
  <c r="E197" i="13" s="1"/>
  <c r="E198" i="13" s="1"/>
  <c r="E199" i="13" s="1"/>
  <c r="E200" i="13" s="1"/>
  <c r="E201" i="13" s="1"/>
  <c r="E188" i="13"/>
  <c r="E187" i="13" s="1"/>
  <c r="E186" i="13" s="1"/>
  <c r="E185" i="13" s="1"/>
  <c r="E184" i="13" s="1"/>
  <c r="E183" i="13" s="1"/>
  <c r="E182" i="13" s="1"/>
  <c r="E181" i="13" s="1"/>
  <c r="E180" i="13" s="1"/>
  <c r="E179" i="13" s="1"/>
  <c r="E178" i="13" s="1"/>
  <c r="E177" i="13" s="1"/>
  <c r="E165" i="13"/>
  <c r="E166" i="13" s="1"/>
  <c r="E167" i="13" s="1"/>
  <c r="E168" i="13" s="1"/>
  <c r="E169" i="13" s="1"/>
  <c r="E170" i="13" s="1"/>
  <c r="E171" i="13" s="1"/>
  <c r="E172" i="13" s="1"/>
  <c r="E173" i="13" s="1"/>
  <c r="E174" i="13" s="1"/>
  <c r="E175" i="13" s="1"/>
  <c r="E176" i="13" s="1"/>
  <c r="E163" i="13"/>
  <c r="E162" i="13" s="1"/>
  <c r="E161" i="13" s="1"/>
  <c r="E160" i="13" s="1"/>
  <c r="E159" i="13" s="1"/>
  <c r="E158" i="13" s="1"/>
  <c r="E157" i="13" s="1"/>
  <c r="E156" i="13" s="1"/>
  <c r="E155" i="13" s="1"/>
  <c r="E154" i="13" s="1"/>
  <c r="E153" i="13" s="1"/>
  <c r="E152" i="13" s="1"/>
  <c r="E140" i="13"/>
  <c r="E141" i="13" s="1"/>
  <c r="E142" i="13" s="1"/>
  <c r="E143" i="13" s="1"/>
  <c r="E144" i="13" s="1"/>
  <c r="E145" i="13" s="1"/>
  <c r="E146" i="13" s="1"/>
  <c r="E147" i="13" s="1"/>
  <c r="E148" i="13" s="1"/>
  <c r="E149" i="13" s="1"/>
  <c r="E150" i="13" s="1"/>
  <c r="E151" i="13" s="1"/>
  <c r="E138" i="13"/>
  <c r="E137" i="13" s="1"/>
  <c r="E136" i="13" s="1"/>
  <c r="E135" i="13" s="1"/>
  <c r="E134" i="13" s="1"/>
  <c r="E133" i="13" s="1"/>
  <c r="E132" i="13" s="1"/>
  <c r="E131" i="13" s="1"/>
  <c r="E130" i="13" s="1"/>
  <c r="E129" i="13" s="1"/>
  <c r="E128" i="13" s="1"/>
  <c r="E127" i="13" s="1"/>
  <c r="E115" i="13"/>
  <c r="E116" i="13" s="1"/>
  <c r="E117" i="13" s="1"/>
  <c r="E118" i="13" s="1"/>
  <c r="E119" i="13" s="1"/>
  <c r="E120" i="13" s="1"/>
  <c r="E121" i="13" s="1"/>
  <c r="E122" i="13" s="1"/>
  <c r="E123" i="13" s="1"/>
  <c r="E124" i="13" s="1"/>
  <c r="E125" i="13" s="1"/>
  <c r="E126" i="13" s="1"/>
  <c r="E113" i="13"/>
  <c r="E112" i="13" s="1"/>
  <c r="E111" i="13" s="1"/>
  <c r="E110" i="13" s="1"/>
  <c r="E109" i="13" s="1"/>
  <c r="E108" i="13" s="1"/>
  <c r="E107" i="13" s="1"/>
  <c r="E106" i="13" s="1"/>
  <c r="E105" i="13" s="1"/>
  <c r="E104" i="13" s="1"/>
  <c r="E103" i="13" s="1"/>
  <c r="E102" i="13" s="1"/>
  <c r="E90" i="13"/>
  <c r="E91" i="13" s="1"/>
  <c r="E92" i="13" s="1"/>
  <c r="E93" i="13" s="1"/>
  <c r="E94" i="13" s="1"/>
  <c r="E95" i="13" s="1"/>
  <c r="E96" i="13" s="1"/>
  <c r="E97" i="13" s="1"/>
  <c r="E98" i="13" s="1"/>
  <c r="E99" i="13" s="1"/>
  <c r="E100" i="13" s="1"/>
  <c r="E101" i="13" s="1"/>
  <c r="E88" i="13"/>
  <c r="E87" i="13" s="1"/>
  <c r="E86" i="13" s="1"/>
  <c r="E85" i="13" s="1"/>
  <c r="E84" i="13" s="1"/>
  <c r="E83" i="13" s="1"/>
  <c r="E82" i="13" s="1"/>
  <c r="E81" i="13" s="1"/>
  <c r="E80" i="13" s="1"/>
  <c r="E79" i="13" s="1"/>
  <c r="E78" i="13" s="1"/>
  <c r="E77" i="13" s="1"/>
  <c r="E65" i="13"/>
  <c r="E66" i="13" s="1"/>
  <c r="E67" i="13" s="1"/>
  <c r="E68" i="13" s="1"/>
  <c r="E69" i="13" s="1"/>
  <c r="E70" i="13" s="1"/>
  <c r="E71" i="13" s="1"/>
  <c r="E72" i="13" s="1"/>
  <c r="E73" i="13" s="1"/>
  <c r="E74" i="13" s="1"/>
  <c r="E75" i="13" s="1"/>
  <c r="E76" i="13" s="1"/>
  <c r="E63" i="13"/>
  <c r="E62" i="13" s="1"/>
  <c r="E61" i="13" s="1"/>
  <c r="E60" i="13" s="1"/>
  <c r="E59" i="13" s="1"/>
  <c r="E58" i="13" s="1"/>
  <c r="E57" i="13" s="1"/>
  <c r="E56" i="13" s="1"/>
  <c r="E55" i="13" s="1"/>
  <c r="E54" i="13" s="1"/>
  <c r="E53" i="13" s="1"/>
  <c r="E52" i="13" s="1"/>
  <c r="Z137" i="23" l="1"/>
  <c r="V138" i="23" s="1"/>
  <c r="Z272" i="23"/>
  <c r="V273" i="23" s="1"/>
  <c r="X199" i="23"/>
  <c r="Z338" i="23"/>
  <c r="V339" i="23" s="1"/>
  <c r="Y113" i="23"/>
  <c r="W113" i="23"/>
  <c r="X113" i="23"/>
  <c r="Z113" i="23" s="1"/>
  <c r="V114" i="23" s="1"/>
  <c r="Y348" i="23"/>
  <c r="W348" i="23"/>
  <c r="X348" i="23"/>
  <c r="X339" i="23"/>
  <c r="Z339" i="23" s="1"/>
  <c r="V340" i="23" s="1"/>
  <c r="Y339" i="23"/>
  <c r="W339" i="23"/>
  <c r="Y325" i="23"/>
  <c r="X325" i="23"/>
  <c r="Z325" i="23" s="1"/>
  <c r="W325" i="23"/>
  <c r="Z312" i="23"/>
  <c r="V313" i="23" s="1"/>
  <c r="Y297" i="23"/>
  <c r="Z297" i="23" s="1"/>
  <c r="V298" i="23" s="1"/>
  <c r="X298" i="23" s="1"/>
  <c r="W297" i="23"/>
  <c r="Y288" i="23"/>
  <c r="W288" i="23"/>
  <c r="X288" i="23"/>
  <c r="X273" i="23"/>
  <c r="Y273" i="23"/>
  <c r="W273" i="23"/>
  <c r="X263" i="23"/>
  <c r="W263" i="23"/>
  <c r="Y263" i="23"/>
  <c r="X248" i="23"/>
  <c r="Y248" i="23"/>
  <c r="W248" i="23"/>
  <c r="Y237" i="23"/>
  <c r="Z237" i="23" s="1"/>
  <c r="V238" i="23" s="1"/>
  <c r="Y238" i="23" s="1"/>
  <c r="W237" i="23"/>
  <c r="X238" i="23"/>
  <c r="W213" i="23"/>
  <c r="W222" i="23"/>
  <c r="X222" i="23"/>
  <c r="Y222" i="23"/>
  <c r="Y213" i="23"/>
  <c r="Z213" i="23" s="1"/>
  <c r="V214" i="23" s="1"/>
  <c r="Y199" i="23"/>
  <c r="Z199" i="23"/>
  <c r="V200" i="23" s="1"/>
  <c r="Y200" i="23" s="1"/>
  <c r="Y188" i="23"/>
  <c r="W188" i="23"/>
  <c r="X188" i="23"/>
  <c r="Y175" i="23"/>
  <c r="Z175" i="23" s="1"/>
  <c r="X175" i="23"/>
  <c r="W175" i="23"/>
  <c r="Z163" i="23"/>
  <c r="V164" i="23" s="1"/>
  <c r="Y138" i="23"/>
  <c r="X138" i="23"/>
  <c r="W138" i="23"/>
  <c r="Y150" i="23"/>
  <c r="X150" i="23"/>
  <c r="W150" i="23"/>
  <c r="V123" i="23"/>
  <c r="Z98" i="23"/>
  <c r="V99" i="23" s="1"/>
  <c r="Y99" i="23"/>
  <c r="X99" i="23"/>
  <c r="W99" i="23"/>
  <c r="W88" i="23"/>
  <c r="X88" i="23"/>
  <c r="Y88" i="23"/>
  <c r="Y72" i="23"/>
  <c r="W72" i="23"/>
  <c r="X72" i="23"/>
  <c r="X61" i="23"/>
  <c r="W61" i="23"/>
  <c r="Y61" i="23"/>
  <c r="D111" i="19"/>
  <c r="Z263" i="23" l="1"/>
  <c r="V264" i="23" s="1"/>
  <c r="X114" i="23"/>
  <c r="Z114" i="23" s="1"/>
  <c r="V115" i="23" s="1"/>
  <c r="Y114" i="23"/>
  <c r="W114" i="23"/>
  <c r="Z99" i="23"/>
  <c r="V100" i="23" s="1"/>
  <c r="Z138" i="23"/>
  <c r="V139" i="23" s="1"/>
  <c r="Z72" i="23"/>
  <c r="V73" i="23" s="1"/>
  <c r="Z348" i="23"/>
  <c r="V349" i="23" s="1"/>
  <c r="Y340" i="23"/>
  <c r="X340" i="23"/>
  <c r="W340" i="23"/>
  <c r="X313" i="23"/>
  <c r="Y313" i="23"/>
  <c r="W313" i="23"/>
  <c r="W298" i="23"/>
  <c r="Y298" i="23"/>
  <c r="Z298" i="23" s="1"/>
  <c r="V299" i="23" s="1"/>
  <c r="Y299" i="23" s="1"/>
  <c r="Z288" i="23"/>
  <c r="V289" i="23" s="1"/>
  <c r="X289" i="23" s="1"/>
  <c r="Z273" i="23"/>
  <c r="V274" i="23" s="1"/>
  <c r="X264" i="23"/>
  <c r="Y264" i="23"/>
  <c r="W264" i="23"/>
  <c r="Z248" i="23"/>
  <c r="V249" i="23" s="1"/>
  <c r="W238" i="23"/>
  <c r="Z238" i="23"/>
  <c r="V239" i="23" s="1"/>
  <c r="W239" i="23" s="1"/>
  <c r="Z222" i="23"/>
  <c r="V223" i="23" s="1"/>
  <c r="W223" i="23" s="1"/>
  <c r="Y223" i="23"/>
  <c r="X214" i="23"/>
  <c r="Z214" i="23" s="1"/>
  <c r="V215" i="23" s="1"/>
  <c r="W215" i="23" s="1"/>
  <c r="Y214" i="23"/>
  <c r="W214" i="23"/>
  <c r="W200" i="23"/>
  <c r="X200" i="23"/>
  <c r="Z200" i="23" s="1"/>
  <c r="Z188" i="23"/>
  <c r="V189" i="23" s="1"/>
  <c r="X164" i="23"/>
  <c r="Y164" i="23"/>
  <c r="W164" i="23"/>
  <c r="Z150" i="23"/>
  <c r="X139" i="23"/>
  <c r="Y139" i="23"/>
  <c r="W139" i="23"/>
  <c r="W123" i="23"/>
  <c r="X123" i="23"/>
  <c r="Y123" i="23"/>
  <c r="X100" i="23"/>
  <c r="Y100" i="23"/>
  <c r="W100" i="23"/>
  <c r="Z88" i="23"/>
  <c r="V89" i="23" s="1"/>
  <c r="Y73" i="23"/>
  <c r="X73" i="23"/>
  <c r="W73" i="23"/>
  <c r="Z61" i="23"/>
  <c r="V62" i="23" s="1"/>
  <c r="W62" i="23" s="1"/>
  <c r="AT58" i="19"/>
  <c r="Z123" i="23" l="1"/>
  <c r="X223" i="23"/>
  <c r="W115" i="23"/>
  <c r="X115" i="23"/>
  <c r="Y115" i="23"/>
  <c r="Z313" i="23"/>
  <c r="V314" i="23" s="1"/>
  <c r="Z340" i="23"/>
  <c r="X349" i="23"/>
  <c r="Y349" i="23"/>
  <c r="W349" i="23"/>
  <c r="X314" i="23"/>
  <c r="W314" i="23"/>
  <c r="Y314" i="23"/>
  <c r="W289" i="23"/>
  <c r="Y289" i="23"/>
  <c r="Z289" i="23" s="1"/>
  <c r="V290" i="23" s="1"/>
  <c r="W299" i="23"/>
  <c r="X299" i="23"/>
  <c r="Z299" i="23" s="1"/>
  <c r="V300" i="23" s="1"/>
  <c r="Y300" i="23" s="1"/>
  <c r="X274" i="23"/>
  <c r="Y274" i="23"/>
  <c r="W274" i="23"/>
  <c r="Z264" i="23"/>
  <c r="V265" i="23" s="1"/>
  <c r="X249" i="23"/>
  <c r="Y249" i="23"/>
  <c r="Z249" i="23" s="1"/>
  <c r="V250" i="23" s="1"/>
  <c r="W249" i="23"/>
  <c r="Y239" i="23"/>
  <c r="X239" i="23"/>
  <c r="Z239" i="23" s="1"/>
  <c r="V240" i="23" s="1"/>
  <c r="Z223" i="23"/>
  <c r="V224" i="23" s="1"/>
  <c r="W224" i="23" s="1"/>
  <c r="Y215" i="23"/>
  <c r="X215" i="23"/>
  <c r="Y189" i="23"/>
  <c r="X189" i="23"/>
  <c r="W189" i="23"/>
  <c r="Z164" i="23"/>
  <c r="V165" i="23" s="1"/>
  <c r="Z139" i="23"/>
  <c r="V140" i="23" s="1"/>
  <c r="V124" i="23"/>
  <c r="Z100" i="23"/>
  <c r="Y89" i="23"/>
  <c r="W89" i="23"/>
  <c r="X89" i="23"/>
  <c r="Z73" i="23"/>
  <c r="V74" i="23" s="1"/>
  <c r="W74" i="23" s="1"/>
  <c r="Y62" i="23"/>
  <c r="X62" i="23"/>
  <c r="O81" i="15"/>
  <c r="K81" i="15"/>
  <c r="J81" i="15"/>
  <c r="I81" i="15"/>
  <c r="H81" i="15"/>
  <c r="G81" i="15"/>
  <c r="O79" i="15"/>
  <c r="I74" i="15"/>
  <c r="O68" i="15"/>
  <c r="K68" i="15"/>
  <c r="J68" i="15"/>
  <c r="I68" i="15"/>
  <c r="H68" i="15"/>
  <c r="G68" i="15"/>
  <c r="O66" i="15"/>
  <c r="I61" i="15"/>
  <c r="O55" i="15"/>
  <c r="K55" i="15"/>
  <c r="J55" i="15"/>
  <c r="I55" i="15"/>
  <c r="H55" i="15"/>
  <c r="G55" i="15"/>
  <c r="O53" i="15"/>
  <c r="I48" i="15"/>
  <c r="O39" i="15"/>
  <c r="K39" i="15"/>
  <c r="J39" i="15"/>
  <c r="I39" i="15"/>
  <c r="H39" i="15"/>
  <c r="G39" i="15"/>
  <c r="O37" i="15"/>
  <c r="I32" i="15"/>
  <c r="O26" i="15"/>
  <c r="K26" i="15"/>
  <c r="J26" i="15"/>
  <c r="I26" i="15"/>
  <c r="H26" i="15"/>
  <c r="G26" i="15"/>
  <c r="O24" i="15"/>
  <c r="I19" i="15"/>
  <c r="I6" i="15"/>
  <c r="N6" i="20"/>
  <c r="O380" i="13"/>
  <c r="P380" i="13"/>
  <c r="Q380" i="13"/>
  <c r="R380" i="13"/>
  <c r="N380" i="13"/>
  <c r="AJ12" i="20"/>
  <c r="AH12" i="20"/>
  <c r="AI12" i="20"/>
  <c r="AG12" i="20"/>
  <c r="AF12" i="20"/>
  <c r="AE12" i="20"/>
  <c r="AD12" i="20"/>
  <c r="AC12" i="20"/>
  <c r="AB12" i="20"/>
  <c r="AA12" i="20"/>
  <c r="Z12" i="20"/>
  <c r="H11" i="20"/>
  <c r="AA11" i="20" s="1"/>
  <c r="I11" i="20"/>
  <c r="AB11" i="20" s="1"/>
  <c r="J11" i="20"/>
  <c r="K11" i="20"/>
  <c r="L11" i="20"/>
  <c r="AE11" i="20" s="1"/>
  <c r="M11" i="20"/>
  <c r="AF11" i="20" s="1"/>
  <c r="N11" i="20"/>
  <c r="AG11" i="20" s="1"/>
  <c r="O11" i="20"/>
  <c r="AH11" i="20" s="1"/>
  <c r="P11" i="20"/>
  <c r="AI11" i="20" s="1"/>
  <c r="Q11" i="20"/>
  <c r="AJ11" i="20" s="1"/>
  <c r="G11" i="20"/>
  <c r="AB6" i="20"/>
  <c r="Q10" i="20" s="1"/>
  <c r="AA6" i="20"/>
  <c r="P10" i="20" s="1"/>
  <c r="Z6" i="20"/>
  <c r="O10" i="20" s="1"/>
  <c r="Y6" i="20"/>
  <c r="N10" i="20" s="1"/>
  <c r="X6" i="20"/>
  <c r="M10" i="20" s="1"/>
  <c r="W6" i="20"/>
  <c r="L10" i="20" s="1"/>
  <c r="V6" i="20"/>
  <c r="K10" i="20" s="1"/>
  <c r="U6" i="20"/>
  <c r="J10" i="20" s="1"/>
  <c r="T6" i="20"/>
  <c r="I10" i="20" s="1"/>
  <c r="S6" i="20"/>
  <c r="H10" i="20" s="1"/>
  <c r="R6" i="20"/>
  <c r="G10" i="20" s="1"/>
  <c r="U14" i="20"/>
  <c r="AA19" i="19"/>
  <c r="Q19" i="19"/>
  <c r="AB17" i="19"/>
  <c r="AB16" i="19"/>
  <c r="Q16" i="19"/>
  <c r="W140" i="23" l="1"/>
  <c r="AG13" i="20"/>
  <c r="H44" i="19"/>
  <c r="N44" i="19" s="1"/>
  <c r="AB13" i="20"/>
  <c r="Y368" i="23"/>
  <c r="H48" i="19"/>
  <c r="N48" i="19" s="1"/>
  <c r="Y372" i="23"/>
  <c r="X240" i="23"/>
  <c r="Z274" i="23"/>
  <c r="V275" i="23" s="1"/>
  <c r="AB12" i="15"/>
  <c r="AA12" i="15"/>
  <c r="Z12" i="15"/>
  <c r="AC12" i="15"/>
  <c r="Y12" i="15"/>
  <c r="H10" i="15"/>
  <c r="S6" i="15"/>
  <c r="O6" i="15"/>
  <c r="Q6" i="15"/>
  <c r="R6" i="15"/>
  <c r="P6" i="15"/>
  <c r="Z89" i="23"/>
  <c r="V90" i="23" s="1"/>
  <c r="S19" i="15"/>
  <c r="Q19" i="15"/>
  <c r="R19" i="15"/>
  <c r="O19" i="15"/>
  <c r="P19" i="15"/>
  <c r="AA25" i="15"/>
  <c r="Y25" i="15"/>
  <c r="AB25" i="15"/>
  <c r="AC25" i="15"/>
  <c r="Z25" i="15"/>
  <c r="AB38" i="15"/>
  <c r="Z38" i="15"/>
  <c r="Q32" i="15"/>
  <c r="S32" i="15"/>
  <c r="AC38" i="15"/>
  <c r="AA38" i="15"/>
  <c r="P32" i="15"/>
  <c r="O32" i="15"/>
  <c r="Y38" i="15"/>
  <c r="R32" i="15"/>
  <c r="P48" i="15"/>
  <c r="S48" i="15"/>
  <c r="O48" i="15"/>
  <c r="R48" i="15"/>
  <c r="Q48" i="15"/>
  <c r="AB54" i="15"/>
  <c r="Y54" i="15"/>
  <c r="Z54" i="15"/>
  <c r="AA54" i="15"/>
  <c r="AC54" i="15"/>
  <c r="S61" i="15"/>
  <c r="O61" i="15"/>
  <c r="R61" i="15"/>
  <c r="Q61" i="15"/>
  <c r="P61" i="15"/>
  <c r="Y67" i="15"/>
  <c r="AA67" i="15"/>
  <c r="Z67" i="15"/>
  <c r="AB67" i="15"/>
  <c r="AC67" i="15"/>
  <c r="AA80" i="15"/>
  <c r="R74" i="15"/>
  <c r="Z80" i="15"/>
  <c r="Q74" i="15"/>
  <c r="AC80" i="15"/>
  <c r="Y80" i="15"/>
  <c r="P74" i="15"/>
  <c r="AB80" i="15"/>
  <c r="S74" i="15"/>
  <c r="O74" i="15"/>
  <c r="Z62" i="23"/>
  <c r="V63" i="23" s="1"/>
  <c r="X140" i="23"/>
  <c r="Z189" i="23"/>
  <c r="Y224" i="23"/>
  <c r="Z115" i="23"/>
  <c r="H52" i="15"/>
  <c r="AD48" i="15"/>
  <c r="K52" i="15"/>
  <c r="X52" i="15" s="1"/>
  <c r="G52" i="15"/>
  <c r="J52" i="15"/>
  <c r="W52" i="15" s="1"/>
  <c r="I52" i="15"/>
  <c r="H23" i="15"/>
  <c r="U23" i="15" s="1"/>
  <c r="G23" i="15"/>
  <c r="T23" i="15" s="1"/>
  <c r="AD19" i="15"/>
  <c r="G24" i="15" s="1"/>
  <c r="I23" i="15"/>
  <c r="V23" i="15" s="1"/>
  <c r="J23" i="15"/>
  <c r="W23" i="15" s="1"/>
  <c r="K23" i="15"/>
  <c r="X23" i="15" s="1"/>
  <c r="K65" i="15"/>
  <c r="X65" i="15" s="1"/>
  <c r="G65" i="15"/>
  <c r="T65" i="15" s="1"/>
  <c r="J65" i="15"/>
  <c r="W65" i="15" s="1"/>
  <c r="I65" i="15"/>
  <c r="V65" i="15" s="1"/>
  <c r="H65" i="15"/>
  <c r="U65" i="15" s="1"/>
  <c r="AD61" i="15"/>
  <c r="J78" i="15"/>
  <c r="W78" i="15" s="1"/>
  <c r="I78" i="15"/>
  <c r="V78" i="15" s="1"/>
  <c r="H78" i="15"/>
  <c r="U78" i="15" s="1"/>
  <c r="AD74" i="15"/>
  <c r="K78" i="15"/>
  <c r="X78" i="15" s="1"/>
  <c r="G78" i="15"/>
  <c r="J36" i="15"/>
  <c r="W36" i="15" s="1"/>
  <c r="AD32" i="15"/>
  <c r="I36" i="15"/>
  <c r="V36" i="15" s="1"/>
  <c r="H36" i="15"/>
  <c r="U36" i="15" s="1"/>
  <c r="K36" i="15"/>
  <c r="X36" i="15" s="1"/>
  <c r="G36" i="15"/>
  <c r="T36" i="15" s="1"/>
  <c r="I10" i="15"/>
  <c r="K10" i="15"/>
  <c r="G10" i="15"/>
  <c r="J10" i="15"/>
  <c r="AD6" i="15"/>
  <c r="G11" i="15" s="1"/>
  <c r="Z349" i="23"/>
  <c r="V350" i="23" s="1"/>
  <c r="Z13" i="20" s="1"/>
  <c r="Z314" i="23"/>
  <c r="V315" i="23" s="1"/>
  <c r="W300" i="23"/>
  <c r="X300" i="23"/>
  <c r="Z300" i="23" s="1"/>
  <c r="W290" i="23"/>
  <c r="X290" i="23"/>
  <c r="Y290" i="23"/>
  <c r="X275" i="23"/>
  <c r="Y275" i="23"/>
  <c r="W275" i="23"/>
  <c r="W265" i="23"/>
  <c r="Y265" i="23"/>
  <c r="X265" i="23"/>
  <c r="Z265" i="23" s="1"/>
  <c r="X250" i="23"/>
  <c r="W250" i="23"/>
  <c r="Y250" i="23"/>
  <c r="W240" i="23"/>
  <c r="Y240" i="23"/>
  <c r="Z240" i="23" s="1"/>
  <c r="X224" i="23"/>
  <c r="Z224" i="23" s="1"/>
  <c r="V225" i="23" s="1"/>
  <c r="Z215" i="23"/>
  <c r="X190" i="23"/>
  <c r="Y190" i="23"/>
  <c r="W190" i="23"/>
  <c r="W165" i="23"/>
  <c r="Y165" i="23"/>
  <c r="X165" i="23"/>
  <c r="Y140" i="23"/>
  <c r="Z140" i="23" s="1"/>
  <c r="W124" i="23"/>
  <c r="X124" i="23"/>
  <c r="Z124" i="23" s="1"/>
  <c r="Y124" i="23"/>
  <c r="Y90" i="23"/>
  <c r="X90" i="23"/>
  <c r="W90" i="23"/>
  <c r="X74" i="23"/>
  <c r="Y74" i="23"/>
  <c r="X63" i="23"/>
  <c r="W63" i="23"/>
  <c r="Y63" i="23"/>
  <c r="T78" i="15"/>
  <c r="W74" i="15"/>
  <c r="W61" i="15"/>
  <c r="T52" i="15"/>
  <c r="U52" i="15"/>
  <c r="W48" i="15"/>
  <c r="V52" i="15"/>
  <c r="W32" i="15"/>
  <c r="W19" i="15"/>
  <c r="W6" i="15"/>
  <c r="AE14" i="20"/>
  <c r="AI14" i="20"/>
  <c r="AG14" i="20"/>
  <c r="AJ14" i="20"/>
  <c r="AF14" i="20"/>
  <c r="AH14" i="20"/>
  <c r="AA14" i="20"/>
  <c r="Z14" i="20"/>
  <c r="AD14" i="20"/>
  <c r="AB14" i="20"/>
  <c r="AC14" i="20"/>
  <c r="AC11" i="20"/>
  <c r="Z11" i="20"/>
  <c r="AD11" i="20"/>
  <c r="H45" i="19" l="1"/>
  <c r="N45" i="19" s="1"/>
  <c r="AC13" i="20"/>
  <c r="AC16" i="20" s="1"/>
  <c r="AN16" i="20" s="1"/>
  <c r="Y369" i="23"/>
  <c r="H43" i="19"/>
  <c r="N43" i="19" s="1"/>
  <c r="AA13" i="20"/>
  <c r="AA16" i="20" s="1"/>
  <c r="AL16" i="20" s="1"/>
  <c r="Y367" i="23"/>
  <c r="X315" i="23"/>
  <c r="H50" i="19"/>
  <c r="N50" i="19" s="1"/>
  <c r="Y375" i="23"/>
  <c r="H46" i="19"/>
  <c r="N46" i="19" s="1"/>
  <c r="AD13" i="20"/>
  <c r="AD16" i="20" s="1"/>
  <c r="AO16" i="20" s="1"/>
  <c r="Y370" i="23"/>
  <c r="AF13" i="20"/>
  <c r="Y315" i="23"/>
  <c r="Z315" i="23" s="1"/>
  <c r="Z90" i="23"/>
  <c r="W315" i="23"/>
  <c r="AE13" i="20"/>
  <c r="H47" i="19"/>
  <c r="N47" i="19" s="1"/>
  <c r="Y371" i="23"/>
  <c r="AG16" i="20"/>
  <c r="AR16" i="20" s="1"/>
  <c r="Y350" i="23"/>
  <c r="W350" i="23"/>
  <c r="X350" i="23"/>
  <c r="Z290" i="23"/>
  <c r="Z275" i="23"/>
  <c r="Z250" i="23"/>
  <c r="W225" i="23"/>
  <c r="Y225" i="23"/>
  <c r="X225" i="23"/>
  <c r="Z190" i="23"/>
  <c r="Z165" i="23"/>
  <c r="V125" i="23"/>
  <c r="Z74" i="23"/>
  <c r="V75" i="23" s="1"/>
  <c r="Z63" i="23"/>
  <c r="V64" i="23" s="1"/>
  <c r="X64" i="23" s="1"/>
  <c r="AB16" i="20"/>
  <c r="AM16" i="20" s="1"/>
  <c r="Z16" i="20"/>
  <c r="AK16" i="20" s="1"/>
  <c r="AE16" i="20" l="1"/>
  <c r="AF16" i="20"/>
  <c r="AF24" i="20" s="1"/>
  <c r="AG25" i="20"/>
  <c r="H49" i="19"/>
  <c r="N49" i="19" s="1"/>
  <c r="AH13" i="20"/>
  <c r="Y374" i="23"/>
  <c r="AI13" i="20"/>
  <c r="AC367" i="23"/>
  <c r="Z43" i="19"/>
  <c r="AK18" i="20"/>
  <c r="AA366" i="23" s="1"/>
  <c r="AC366" i="23"/>
  <c r="AC373" i="23"/>
  <c r="AE24" i="20"/>
  <c r="AE23" i="20"/>
  <c r="AE22" i="20"/>
  <c r="AG22" i="20"/>
  <c r="AG24" i="20"/>
  <c r="AG23" i="20"/>
  <c r="AF23" i="20"/>
  <c r="AF22" i="20"/>
  <c r="AC25" i="20"/>
  <c r="AA25" i="20"/>
  <c r="AL18" i="20"/>
  <c r="Z350" i="23"/>
  <c r="Z225" i="23"/>
  <c r="W125" i="23"/>
  <c r="X125" i="23"/>
  <c r="Y125" i="23"/>
  <c r="X75" i="23"/>
  <c r="Y75" i="23"/>
  <c r="W75" i="23"/>
  <c r="Y64" i="23"/>
  <c r="Z64" i="23" s="1"/>
  <c r="V65" i="23" s="1"/>
  <c r="W64" i="23"/>
  <c r="AC24" i="20"/>
  <c r="AC23" i="20"/>
  <c r="AC22" i="20"/>
  <c r="AD22" i="20"/>
  <c r="AD23" i="20"/>
  <c r="AD24" i="20"/>
  <c r="Z22" i="20"/>
  <c r="Z23" i="20"/>
  <c r="Z24" i="20"/>
  <c r="Z25" i="20"/>
  <c r="AB22" i="20"/>
  <c r="AB24" i="20"/>
  <c r="AB23" i="20"/>
  <c r="AD25" i="20"/>
  <c r="AB25" i="20"/>
  <c r="AA22" i="20"/>
  <c r="AA23" i="20"/>
  <c r="AA24" i="20"/>
  <c r="AE25" i="20" l="1"/>
  <c r="AP16" i="20"/>
  <c r="AI16" i="20"/>
  <c r="AT16" i="20" s="1"/>
  <c r="AH16" i="20"/>
  <c r="AS16" i="20" s="1"/>
  <c r="AS18" i="20" s="1"/>
  <c r="AF25" i="20"/>
  <c r="AP18" i="20"/>
  <c r="Z48" i="19"/>
  <c r="AQ18" i="20"/>
  <c r="AA372" i="23" s="1"/>
  <c r="AC372" i="23"/>
  <c r="AH25" i="20"/>
  <c r="AH23" i="20"/>
  <c r="AH24" i="20"/>
  <c r="H51" i="19"/>
  <c r="N51" i="19" s="1"/>
  <c r="AJ13" i="20"/>
  <c r="Y376" i="23"/>
  <c r="AI24" i="20"/>
  <c r="AM18" i="20"/>
  <c r="Z44" i="19"/>
  <c r="AC368" i="23"/>
  <c r="Z46" i="19"/>
  <c r="AC370" i="23"/>
  <c r="Z45" i="19"/>
  <c r="AC369" i="23"/>
  <c r="Z47" i="19"/>
  <c r="Z17" i="20"/>
  <c r="Z18" i="20" s="1"/>
  <c r="AA17" i="20"/>
  <c r="AA18" i="20" s="1"/>
  <c r="Q43" i="19" s="1"/>
  <c r="AA367" i="23"/>
  <c r="T43" i="19"/>
  <c r="AR18" i="20"/>
  <c r="AA373" i="23" s="1"/>
  <c r="AN18" i="20"/>
  <c r="AO18" i="20"/>
  <c r="Z125" i="23"/>
  <c r="Z75" i="23"/>
  <c r="X65" i="23"/>
  <c r="W65" i="23"/>
  <c r="Y65" i="23"/>
  <c r="AI23" i="20" l="1"/>
  <c r="AI25" i="20"/>
  <c r="AI22" i="20"/>
  <c r="AH22" i="20"/>
  <c r="AC375" i="23"/>
  <c r="Z50" i="19"/>
  <c r="AT18" i="20"/>
  <c r="T50" i="19" s="1"/>
  <c r="Z49" i="19"/>
  <c r="AC374" i="23"/>
  <c r="AF17" i="20"/>
  <c r="AF18" i="20" s="1"/>
  <c r="Q48" i="19" s="1"/>
  <c r="T48" i="19"/>
  <c r="AC371" i="23"/>
  <c r="AJ16" i="20"/>
  <c r="AA371" i="23"/>
  <c r="T47" i="19"/>
  <c r="AA374" i="23"/>
  <c r="T49" i="19"/>
  <c r="T45" i="19"/>
  <c r="AA369" i="23"/>
  <c r="T46" i="19"/>
  <c r="AA370" i="23"/>
  <c r="AB17" i="20"/>
  <c r="AB18" i="20" s="1"/>
  <c r="Q44" i="19" s="1"/>
  <c r="AA368" i="23"/>
  <c r="T44" i="19"/>
  <c r="AG17" i="20"/>
  <c r="AG18" i="20" s="1"/>
  <c r="AH17" i="20"/>
  <c r="AH18" i="20" s="1"/>
  <c r="Q49" i="19" s="1"/>
  <c r="AE17" i="20"/>
  <c r="AE18" i="20" s="1"/>
  <c r="Q47" i="19" s="1"/>
  <c r="AC17" i="20"/>
  <c r="AC18" i="20" s="1"/>
  <c r="Q45" i="19" s="1"/>
  <c r="AD17" i="20"/>
  <c r="AD18" i="20" s="1"/>
  <c r="Q46" i="19" s="1"/>
  <c r="Z65" i="23"/>
  <c r="Y32" i="19"/>
  <c r="L33" i="19"/>
  <c r="L32" i="19"/>
  <c r="S25" i="19"/>
  <c r="S26" i="19"/>
  <c r="S27" i="19"/>
  <c r="S28" i="19"/>
  <c r="S24" i="19"/>
  <c r="L25" i="19"/>
  <c r="L26" i="19"/>
  <c r="L27" i="19"/>
  <c r="L28" i="19"/>
  <c r="L24" i="19"/>
  <c r="I25" i="19"/>
  <c r="I26" i="19"/>
  <c r="I27" i="19"/>
  <c r="I28" i="19"/>
  <c r="I24" i="19"/>
  <c r="Q14" i="19"/>
  <c r="Z28" i="19"/>
  <c r="Z25" i="19"/>
  <c r="Z26" i="19"/>
  <c r="Z27" i="19"/>
  <c r="Z24" i="19"/>
  <c r="A27" i="19"/>
  <c r="A26" i="19"/>
  <c r="A25" i="19"/>
  <c r="A28" i="19"/>
  <c r="A24" i="19"/>
  <c r="D19" i="19"/>
  <c r="AB15" i="19"/>
  <c r="AB14" i="19"/>
  <c r="Q15" i="19"/>
  <c r="D15" i="19"/>
  <c r="D14" i="19"/>
  <c r="AD9" i="19"/>
  <c r="AD7" i="19"/>
  <c r="AD10" i="19"/>
  <c r="X10" i="19"/>
  <c r="O10" i="19"/>
  <c r="G10" i="19"/>
  <c r="D9" i="19"/>
  <c r="F8" i="19"/>
  <c r="D7" i="19"/>
  <c r="F6" i="19"/>
  <c r="AU16" i="20" l="1"/>
  <c r="AU18" i="20" s="1"/>
  <c r="AA375" i="23"/>
  <c r="AI17" i="20"/>
  <c r="AI18" i="20" s="1"/>
  <c r="Q50" i="19" s="1"/>
  <c r="AJ24" i="20"/>
  <c r="AJ25" i="20"/>
  <c r="AJ22" i="20"/>
  <c r="AJ23" i="20"/>
  <c r="W4" i="19"/>
  <c r="W81" i="19" s="1"/>
  <c r="AF112" i="19"/>
  <c r="AD81" i="19"/>
  <c r="Z5" i="19"/>
  <c r="H5" i="19"/>
  <c r="Z51" i="19" l="1"/>
  <c r="AC376" i="23"/>
  <c r="L38" i="16"/>
  <c r="G37" i="16"/>
  <c r="L37" i="16" s="1"/>
  <c r="G36" i="16"/>
  <c r="L36" i="16" s="1"/>
  <c r="L35" i="16"/>
  <c r="M40" i="16"/>
  <c r="N40" i="16"/>
  <c r="O40" i="16"/>
  <c r="P40" i="16"/>
  <c r="L40" i="16"/>
  <c r="M39" i="16"/>
  <c r="N39" i="16"/>
  <c r="O39" i="16"/>
  <c r="P39" i="16"/>
  <c r="L39" i="16"/>
  <c r="M38" i="16"/>
  <c r="N38" i="16"/>
  <c r="O38" i="16"/>
  <c r="P38" i="16"/>
  <c r="H37" i="16"/>
  <c r="M37" i="16" s="1"/>
  <c r="I37" i="16"/>
  <c r="N37" i="16" s="1"/>
  <c r="J37" i="16"/>
  <c r="O37" i="16" s="1"/>
  <c r="K37" i="16"/>
  <c r="P37" i="16" s="1"/>
  <c r="H36" i="16"/>
  <c r="M36" i="16" s="1"/>
  <c r="I36" i="16"/>
  <c r="N36" i="16" s="1"/>
  <c r="J36" i="16"/>
  <c r="O36" i="16" s="1"/>
  <c r="K36" i="16"/>
  <c r="P36" i="16" s="1"/>
  <c r="H35" i="16"/>
  <c r="M35" i="16" s="1"/>
  <c r="I35" i="16"/>
  <c r="N35" i="16" s="1"/>
  <c r="J35" i="16"/>
  <c r="O35" i="16" s="1"/>
  <c r="K35" i="16"/>
  <c r="P35" i="16" s="1"/>
  <c r="X10" i="15"/>
  <c r="W10" i="15"/>
  <c r="V10" i="15"/>
  <c r="U10" i="15"/>
  <c r="T10" i="15"/>
  <c r="H13" i="15"/>
  <c r="I13" i="15"/>
  <c r="J13" i="15"/>
  <c r="K13" i="15"/>
  <c r="G13" i="15"/>
  <c r="O11" i="15"/>
  <c r="O13" i="15"/>
  <c r="R365" i="13"/>
  <c r="Q365" i="13"/>
  <c r="P365" i="13"/>
  <c r="O365" i="13"/>
  <c r="N365" i="13"/>
  <c r="R378" i="13"/>
  <c r="Q378" i="13"/>
  <c r="P378" i="13"/>
  <c r="O378" i="13"/>
  <c r="N378" i="13"/>
  <c r="O391" i="13"/>
  <c r="P391" i="13"/>
  <c r="Q391" i="13"/>
  <c r="R391" i="13"/>
  <c r="N391" i="13"/>
  <c r="B263" i="13"/>
  <c r="B262" i="13" s="1"/>
  <c r="B261" i="13" s="1"/>
  <c r="B260" i="13" s="1"/>
  <c r="B259" i="13" s="1"/>
  <c r="B258" i="13" s="1"/>
  <c r="B257" i="13" s="1"/>
  <c r="B256" i="13" s="1"/>
  <c r="B255" i="13" s="1"/>
  <c r="B254" i="13" s="1"/>
  <c r="B253" i="13" s="1"/>
  <c r="B252" i="13" s="1"/>
  <c r="B238" i="13"/>
  <c r="B237" i="13" s="1"/>
  <c r="B236" i="13" s="1"/>
  <c r="B235" i="13" s="1"/>
  <c r="B234" i="13" s="1"/>
  <c r="B233" i="13" s="1"/>
  <c r="B232" i="13" s="1"/>
  <c r="B231" i="13" s="1"/>
  <c r="B230" i="13" s="1"/>
  <c r="B229" i="13" s="1"/>
  <c r="B228" i="13" s="1"/>
  <c r="B227" i="13" s="1"/>
  <c r="B265" i="13"/>
  <c r="B266" i="13" s="1"/>
  <c r="B267" i="13" s="1"/>
  <c r="B268" i="13" s="1"/>
  <c r="B269" i="13" s="1"/>
  <c r="B270" i="13" s="1"/>
  <c r="B271" i="13" s="1"/>
  <c r="B272" i="13" s="1"/>
  <c r="B273" i="13" s="1"/>
  <c r="B274" i="13" s="1"/>
  <c r="B275" i="13" s="1"/>
  <c r="B276" i="13" s="1"/>
  <c r="B240" i="13"/>
  <c r="B241" i="13" s="1"/>
  <c r="B242" i="13" s="1"/>
  <c r="B243" i="13" s="1"/>
  <c r="B244" i="13" s="1"/>
  <c r="B245" i="13" s="1"/>
  <c r="B246" i="13" s="1"/>
  <c r="B247" i="13" s="1"/>
  <c r="B248" i="13" s="1"/>
  <c r="B249" i="13" s="1"/>
  <c r="B250" i="13" s="1"/>
  <c r="B251" i="13" s="1"/>
  <c r="B190" i="13"/>
  <c r="B191" i="13" s="1"/>
  <c r="B192" i="13" s="1"/>
  <c r="B193" i="13" s="1"/>
  <c r="B194" i="13" s="1"/>
  <c r="B195" i="13" s="1"/>
  <c r="B196" i="13" s="1"/>
  <c r="B197" i="13" s="1"/>
  <c r="B198" i="13" s="1"/>
  <c r="B199" i="13" s="1"/>
  <c r="B200" i="13" s="1"/>
  <c r="B201" i="13" s="1"/>
  <c r="B188" i="13"/>
  <c r="B187" i="13" s="1"/>
  <c r="B186" i="13" s="1"/>
  <c r="B185" i="13" s="1"/>
  <c r="B184" i="13" s="1"/>
  <c r="B183" i="13" s="1"/>
  <c r="B182" i="13" s="1"/>
  <c r="B181" i="13" s="1"/>
  <c r="B180" i="13" s="1"/>
  <c r="B179" i="13" s="1"/>
  <c r="B178" i="13" s="1"/>
  <c r="B177" i="13" s="1"/>
  <c r="B165" i="13"/>
  <c r="B166" i="13" s="1"/>
  <c r="B167" i="13" s="1"/>
  <c r="B168" i="13" s="1"/>
  <c r="B169" i="13" s="1"/>
  <c r="B170" i="13" s="1"/>
  <c r="B171" i="13" s="1"/>
  <c r="B172" i="13" s="1"/>
  <c r="B173" i="13" s="1"/>
  <c r="B174" i="13" s="1"/>
  <c r="B175" i="13" s="1"/>
  <c r="B176" i="13" s="1"/>
  <c r="B163" i="13"/>
  <c r="B162" i="13" s="1"/>
  <c r="B161" i="13" s="1"/>
  <c r="B160" i="13" s="1"/>
  <c r="B159" i="13" s="1"/>
  <c r="B158" i="13" s="1"/>
  <c r="B157" i="13" s="1"/>
  <c r="B156" i="13" s="1"/>
  <c r="B155" i="13" s="1"/>
  <c r="B154" i="13" s="1"/>
  <c r="B153" i="13" s="1"/>
  <c r="B152" i="13" s="1"/>
  <c r="B140" i="13"/>
  <c r="B141" i="13" s="1"/>
  <c r="B142" i="13" s="1"/>
  <c r="B143" i="13" s="1"/>
  <c r="B144" i="13" s="1"/>
  <c r="B145" i="13" s="1"/>
  <c r="B146" i="13" s="1"/>
  <c r="B147" i="13" s="1"/>
  <c r="B148" i="13" s="1"/>
  <c r="B149" i="13" s="1"/>
  <c r="B150" i="13" s="1"/>
  <c r="B151" i="13" s="1"/>
  <c r="B138" i="13"/>
  <c r="B137" i="13" s="1"/>
  <c r="B136" i="13" s="1"/>
  <c r="B135" i="13" s="1"/>
  <c r="B134" i="13" s="1"/>
  <c r="B133" i="13" s="1"/>
  <c r="B132" i="13" s="1"/>
  <c r="B131" i="13" s="1"/>
  <c r="B130" i="13" s="1"/>
  <c r="B129" i="13" s="1"/>
  <c r="B128" i="13" s="1"/>
  <c r="B127" i="13" s="1"/>
  <c r="B115" i="13"/>
  <c r="B116" i="13" s="1"/>
  <c r="B117" i="13" s="1"/>
  <c r="B118" i="13" s="1"/>
  <c r="B119" i="13" s="1"/>
  <c r="B120" i="13" s="1"/>
  <c r="B121" i="13" s="1"/>
  <c r="B122" i="13" s="1"/>
  <c r="B123" i="13" s="1"/>
  <c r="B124" i="13" s="1"/>
  <c r="B125" i="13" s="1"/>
  <c r="B126" i="13" s="1"/>
  <c r="B113" i="13"/>
  <c r="B112" i="13" s="1"/>
  <c r="B111" i="13" s="1"/>
  <c r="B110" i="13" s="1"/>
  <c r="B109" i="13" s="1"/>
  <c r="B108" i="13" s="1"/>
  <c r="B107" i="13" s="1"/>
  <c r="B106" i="13" s="1"/>
  <c r="B105" i="13" s="1"/>
  <c r="B104" i="13" s="1"/>
  <c r="B103" i="13" s="1"/>
  <c r="B102" i="13" s="1"/>
  <c r="B90" i="13"/>
  <c r="B91" i="13" s="1"/>
  <c r="B92" i="13" s="1"/>
  <c r="B93" i="13" s="1"/>
  <c r="B94" i="13" s="1"/>
  <c r="B95" i="13" s="1"/>
  <c r="B96" i="13" s="1"/>
  <c r="B97" i="13" s="1"/>
  <c r="B98" i="13" s="1"/>
  <c r="B99" i="13" s="1"/>
  <c r="B100" i="13" s="1"/>
  <c r="B101" i="13" s="1"/>
  <c r="B88" i="13"/>
  <c r="B87" i="13" s="1"/>
  <c r="B86" i="13" s="1"/>
  <c r="B85" i="13" s="1"/>
  <c r="B84" i="13" s="1"/>
  <c r="B83" i="13" s="1"/>
  <c r="B82" i="13" s="1"/>
  <c r="B81" i="13" s="1"/>
  <c r="B80" i="13" s="1"/>
  <c r="B79" i="13" s="1"/>
  <c r="B78" i="13" s="1"/>
  <c r="B77" i="13" s="1"/>
  <c r="B65" i="13"/>
  <c r="B66" i="13" s="1"/>
  <c r="B67" i="13" s="1"/>
  <c r="B68" i="13" s="1"/>
  <c r="B69" i="13" s="1"/>
  <c r="B70" i="13" s="1"/>
  <c r="B71" i="13" s="1"/>
  <c r="B72" i="13" s="1"/>
  <c r="B73" i="13" s="1"/>
  <c r="B74" i="13" s="1"/>
  <c r="B75" i="13" s="1"/>
  <c r="B76" i="13" s="1"/>
  <c r="B63" i="13"/>
  <c r="B62" i="13" s="1"/>
  <c r="B61" i="13" s="1"/>
  <c r="B60" i="13" s="1"/>
  <c r="B59" i="13" s="1"/>
  <c r="B58" i="13" s="1"/>
  <c r="B57" i="13" s="1"/>
  <c r="B56" i="13" s="1"/>
  <c r="B55" i="13" s="1"/>
  <c r="B54" i="13" s="1"/>
  <c r="B53" i="13" s="1"/>
  <c r="B52" i="13" s="1"/>
  <c r="AC4505" i="13"/>
  <c r="AC4504" i="13"/>
  <c r="AC4503" i="13"/>
  <c r="AC4502" i="13"/>
  <c r="AC4501" i="13"/>
  <c r="AC4500" i="13"/>
  <c r="AC4499" i="13"/>
  <c r="AC4498" i="13"/>
  <c r="AC4497" i="13"/>
  <c r="AC4496" i="13"/>
  <c r="AC4495" i="13"/>
  <c r="AC4494" i="13"/>
  <c r="AC4493" i="13"/>
  <c r="AC4492" i="13"/>
  <c r="AC4491" i="13"/>
  <c r="AC4490" i="13"/>
  <c r="AC4489" i="13"/>
  <c r="AC4488" i="13"/>
  <c r="AC4487" i="13"/>
  <c r="AC4486" i="13"/>
  <c r="AC4485" i="13"/>
  <c r="AC4484" i="13"/>
  <c r="AC4483" i="13"/>
  <c r="AC4482" i="13"/>
  <c r="AC4481" i="13"/>
  <c r="AC4480" i="13"/>
  <c r="AC4479" i="13"/>
  <c r="AC4478" i="13"/>
  <c r="AC4477" i="13"/>
  <c r="AC4476" i="13"/>
  <c r="AC4475" i="13"/>
  <c r="AC4474" i="13"/>
  <c r="AC4473" i="13"/>
  <c r="AC4472" i="13"/>
  <c r="AC4471" i="13"/>
  <c r="AC4470" i="13"/>
  <c r="AC4469" i="13"/>
  <c r="AC4468" i="13"/>
  <c r="AC4467" i="13"/>
  <c r="AC4466" i="13"/>
  <c r="AC4465" i="13"/>
  <c r="AC4464" i="13"/>
  <c r="AC4463" i="13"/>
  <c r="AC4462" i="13"/>
  <c r="AC4461" i="13"/>
  <c r="AC4460" i="13"/>
  <c r="AC4459" i="13"/>
  <c r="AC4458" i="13"/>
  <c r="AC4457" i="13"/>
  <c r="AC4456" i="13"/>
  <c r="AC4455" i="13"/>
  <c r="AC4454" i="13"/>
  <c r="AC4453" i="13"/>
  <c r="AC4452" i="13"/>
  <c r="AC4451" i="13"/>
  <c r="AC4450" i="13"/>
  <c r="AC4449" i="13"/>
  <c r="AC4448" i="13"/>
  <c r="AC4447" i="13"/>
  <c r="AC4446" i="13"/>
  <c r="AC4445" i="13"/>
  <c r="AC4444" i="13"/>
  <c r="AC4443" i="13"/>
  <c r="AC4442" i="13"/>
  <c r="AC4441" i="13"/>
  <c r="AC4440" i="13"/>
  <c r="AC4439" i="13"/>
  <c r="AC4438" i="13"/>
  <c r="AC4437" i="13"/>
  <c r="AC4436" i="13"/>
  <c r="AC4435" i="13"/>
  <c r="AC4434" i="13"/>
  <c r="AC4433" i="13"/>
  <c r="AC4432" i="13"/>
  <c r="AC4431" i="13"/>
  <c r="AC4430" i="13"/>
  <c r="AC4429" i="13"/>
  <c r="AC4428" i="13"/>
  <c r="AC4427" i="13"/>
  <c r="AC4426" i="13"/>
  <c r="AC4425" i="13"/>
  <c r="AC4424" i="13"/>
  <c r="AC4423" i="13"/>
  <c r="AC4422" i="13"/>
  <c r="AC4421" i="13"/>
  <c r="AC4420" i="13"/>
  <c r="AC4419" i="13"/>
  <c r="AC4418" i="13"/>
  <c r="AC4417" i="13"/>
  <c r="AC4416" i="13"/>
  <c r="AC4415" i="13"/>
  <c r="AC4414" i="13"/>
  <c r="AC4413" i="13"/>
  <c r="AC4412" i="13"/>
  <c r="AC4411" i="13"/>
  <c r="AC4410" i="13"/>
  <c r="AC4409" i="13"/>
  <c r="AC4408" i="13"/>
  <c r="AC4407" i="13"/>
  <c r="AC4406" i="13"/>
  <c r="AC4405" i="13"/>
  <c r="AC4404" i="13"/>
  <c r="AC4403" i="13"/>
  <c r="AC4402" i="13"/>
  <c r="AC4401" i="13"/>
  <c r="AC4400" i="13"/>
  <c r="AC4399" i="13"/>
  <c r="AC4398" i="13"/>
  <c r="AC4397" i="13"/>
  <c r="AC4396" i="13"/>
  <c r="AC4395" i="13"/>
  <c r="AC4394" i="13"/>
  <c r="AC4393" i="13"/>
  <c r="AC4392" i="13"/>
  <c r="AC4391" i="13"/>
  <c r="AC4390" i="13"/>
  <c r="AC4389" i="13"/>
  <c r="AC4388" i="13"/>
  <c r="AC4387" i="13"/>
  <c r="AC4386" i="13"/>
  <c r="AC4385" i="13"/>
  <c r="AC4384" i="13"/>
  <c r="AC4383" i="13"/>
  <c r="AC4382" i="13"/>
  <c r="AC4381" i="13"/>
  <c r="AC4380" i="13"/>
  <c r="AC4379" i="13"/>
  <c r="AC4378" i="13"/>
  <c r="AC4377" i="13"/>
  <c r="AC4376" i="13"/>
  <c r="AC4375" i="13"/>
  <c r="AC4374" i="13"/>
  <c r="AC4373" i="13"/>
  <c r="AC4372" i="13"/>
  <c r="AC4371" i="13"/>
  <c r="AC4370" i="13"/>
  <c r="AC4369" i="13"/>
  <c r="AC4368" i="13"/>
  <c r="AC4367" i="13"/>
  <c r="AC4366" i="13"/>
  <c r="AC4365" i="13"/>
  <c r="AC4364" i="13"/>
  <c r="AC4363" i="13"/>
  <c r="AC4362" i="13"/>
  <c r="AC4361" i="13"/>
  <c r="AC4360" i="13"/>
  <c r="AC4359" i="13"/>
  <c r="AC4358" i="13"/>
  <c r="AC4357" i="13"/>
  <c r="AC4356" i="13"/>
  <c r="AC4355" i="13"/>
  <c r="AC4354" i="13"/>
  <c r="AC4353" i="13"/>
  <c r="AC4352" i="13"/>
  <c r="AC4351" i="13"/>
  <c r="AC4350" i="13"/>
  <c r="AC4349" i="13"/>
  <c r="AC4348" i="13"/>
  <c r="AC4347" i="13"/>
  <c r="AC4346" i="13"/>
  <c r="AC4345" i="13"/>
  <c r="AC4344" i="13"/>
  <c r="AC4343" i="13"/>
  <c r="AC4342" i="13"/>
  <c r="AC4341" i="13"/>
  <c r="AC4340" i="13"/>
  <c r="AC4339" i="13"/>
  <c r="AC4338" i="13"/>
  <c r="AC4337" i="13"/>
  <c r="AC4336" i="13"/>
  <c r="AC4335" i="13"/>
  <c r="AC4334" i="13"/>
  <c r="AC4333" i="13"/>
  <c r="AC4332" i="13"/>
  <c r="AC4331" i="13"/>
  <c r="AC4330" i="13"/>
  <c r="AC4329" i="13"/>
  <c r="AC4328" i="13"/>
  <c r="AC4327" i="13"/>
  <c r="AC4326" i="13"/>
  <c r="AC4325" i="13"/>
  <c r="AC4324" i="13"/>
  <c r="AC4323" i="13"/>
  <c r="AC4322" i="13"/>
  <c r="AC4321" i="13"/>
  <c r="AC4320" i="13"/>
  <c r="AC4319" i="13"/>
  <c r="AC4318" i="13"/>
  <c r="AC4317" i="13"/>
  <c r="AC4316" i="13"/>
  <c r="AC4315" i="13"/>
  <c r="AC4314" i="13"/>
  <c r="AC4313" i="13"/>
  <c r="AC4312" i="13"/>
  <c r="AC4311" i="13"/>
  <c r="AC4310" i="13"/>
  <c r="AC4309" i="13"/>
  <c r="AC4308" i="13"/>
  <c r="AC4307" i="13"/>
  <c r="AC4306" i="13"/>
  <c r="AC4305" i="13"/>
  <c r="AC4304" i="13"/>
  <c r="AC4303" i="13"/>
  <c r="AC4302" i="13"/>
  <c r="AC4301" i="13"/>
  <c r="AC4300" i="13"/>
  <c r="AC4299" i="13"/>
  <c r="AC4298" i="13"/>
  <c r="AC4297" i="13"/>
  <c r="AC4296" i="13"/>
  <c r="AC4295" i="13"/>
  <c r="AC4294" i="13"/>
  <c r="AC4293" i="13"/>
  <c r="AC4292" i="13"/>
  <c r="AC4291" i="13"/>
  <c r="AC4290" i="13"/>
  <c r="AC4289" i="13"/>
  <c r="AC4288" i="13"/>
  <c r="AC4287" i="13"/>
  <c r="AC4286" i="13"/>
  <c r="AC4285" i="13"/>
  <c r="AC4284" i="13"/>
  <c r="AC4283" i="13"/>
  <c r="AC4282" i="13"/>
  <c r="AC4281" i="13"/>
  <c r="AC4280" i="13"/>
  <c r="AC4279" i="13"/>
  <c r="AC4278" i="13"/>
  <c r="AC4277" i="13"/>
  <c r="AC4276" i="13"/>
  <c r="AC4275" i="13"/>
  <c r="AC4274" i="13"/>
  <c r="AC4273" i="13"/>
  <c r="AC4272" i="13"/>
  <c r="AC4271" i="13"/>
  <c r="AC4270" i="13"/>
  <c r="AC4269" i="13"/>
  <c r="AC4268" i="13"/>
  <c r="AC4267" i="13"/>
  <c r="AC4266" i="13"/>
  <c r="AC4265" i="13"/>
  <c r="AC4264" i="13"/>
  <c r="AC4263" i="13"/>
  <c r="AC4262" i="13"/>
  <c r="AC4261" i="13"/>
  <c r="AC4260" i="13"/>
  <c r="AC4259" i="13"/>
  <c r="AC4258" i="13"/>
  <c r="AC4257" i="13"/>
  <c r="AC4256" i="13"/>
  <c r="AC4255" i="13"/>
  <c r="AC4254" i="13"/>
  <c r="AC4253" i="13"/>
  <c r="AC4252" i="13"/>
  <c r="AC4251" i="13"/>
  <c r="AC4250" i="13"/>
  <c r="AC4249" i="13"/>
  <c r="AC4248" i="13"/>
  <c r="AC4247" i="13"/>
  <c r="AC4246" i="13"/>
  <c r="AC4245" i="13"/>
  <c r="AC4244" i="13"/>
  <c r="AC4243" i="13"/>
  <c r="AC4242" i="13"/>
  <c r="AC4241" i="13"/>
  <c r="AC4240" i="13"/>
  <c r="AC4239" i="13"/>
  <c r="AC4238" i="13"/>
  <c r="AC4237" i="13"/>
  <c r="AC4236" i="13"/>
  <c r="AC4235" i="13"/>
  <c r="AC4234" i="13"/>
  <c r="AC4233" i="13"/>
  <c r="AC4232" i="13"/>
  <c r="AC4231" i="13"/>
  <c r="AC4230" i="13"/>
  <c r="AC4229" i="13"/>
  <c r="AC4228" i="13"/>
  <c r="AC4227" i="13"/>
  <c r="AC4226" i="13"/>
  <c r="AC4225" i="13"/>
  <c r="AC4224" i="13"/>
  <c r="AC4223" i="13"/>
  <c r="AC4222" i="13"/>
  <c r="AC4221" i="13"/>
  <c r="AC4220" i="13"/>
  <c r="AC4219" i="13"/>
  <c r="AC4218" i="13"/>
  <c r="AC4217" i="13"/>
  <c r="AC4216" i="13"/>
  <c r="AC4215" i="13"/>
  <c r="AC4214" i="13"/>
  <c r="AC4213" i="13"/>
  <c r="AC4212" i="13"/>
  <c r="AC4211" i="13"/>
  <c r="AC4210" i="13"/>
  <c r="AC4209" i="13"/>
  <c r="AC4208" i="13"/>
  <c r="AC4207" i="13"/>
  <c r="AC4206" i="13"/>
  <c r="AC4205" i="13"/>
  <c r="AC4204" i="13"/>
  <c r="AC4203" i="13"/>
  <c r="AC4202" i="13"/>
  <c r="AC4201" i="13"/>
  <c r="AC4200" i="13"/>
  <c r="AC4199" i="13"/>
  <c r="AC4198" i="13"/>
  <c r="AC4197" i="13"/>
  <c r="AC4196" i="13"/>
  <c r="AC4195" i="13"/>
  <c r="AC4194" i="13"/>
  <c r="AC4193" i="13"/>
  <c r="AC4192" i="13"/>
  <c r="AC4191" i="13"/>
  <c r="AC4190" i="13"/>
  <c r="AC4189" i="13"/>
  <c r="AC4188" i="13"/>
  <c r="AC4187" i="13"/>
  <c r="AC4186" i="13"/>
  <c r="AC4185" i="13"/>
  <c r="AC4184" i="13"/>
  <c r="AC4183" i="13"/>
  <c r="AC4182" i="13"/>
  <c r="AC4181" i="13"/>
  <c r="AC4180" i="13"/>
  <c r="AC4179" i="13"/>
  <c r="AC4178" i="13"/>
  <c r="AC4177" i="13"/>
  <c r="AC4176" i="13"/>
  <c r="AC4175" i="13"/>
  <c r="AC4174" i="13"/>
  <c r="AC4173" i="13"/>
  <c r="AC4172" i="13"/>
  <c r="AC4171" i="13"/>
  <c r="AC4170" i="13"/>
  <c r="AC4169" i="13"/>
  <c r="AC4168" i="13"/>
  <c r="AC4167" i="13"/>
  <c r="AC4166" i="13"/>
  <c r="AC4165" i="13"/>
  <c r="AC4164" i="13"/>
  <c r="AC4163" i="13"/>
  <c r="AC4162" i="13"/>
  <c r="AC4161" i="13"/>
  <c r="AC4160" i="13"/>
  <c r="AC4159" i="13"/>
  <c r="AC4158" i="13"/>
  <c r="AC4157" i="13"/>
  <c r="AC4156" i="13"/>
  <c r="AC4155" i="13"/>
  <c r="AC4154" i="13"/>
  <c r="AC4153" i="13"/>
  <c r="AC4152" i="13"/>
  <c r="AC4151" i="13"/>
  <c r="AC4150" i="13"/>
  <c r="AC4149" i="13"/>
  <c r="AC4148" i="13"/>
  <c r="AC4147" i="13"/>
  <c r="AC4146" i="13"/>
  <c r="AC4145" i="13"/>
  <c r="AC4144" i="13"/>
  <c r="AC4143" i="13"/>
  <c r="AC4142" i="13"/>
  <c r="AC4141" i="13"/>
  <c r="AC4140" i="13"/>
  <c r="AC4139" i="13"/>
  <c r="AC4138" i="13"/>
  <c r="AC4137" i="13"/>
  <c r="AC4136" i="13"/>
  <c r="AC4135" i="13"/>
  <c r="AC4134" i="13"/>
  <c r="AC4133" i="13"/>
  <c r="AC4132" i="13"/>
  <c r="AC4131" i="13"/>
  <c r="AC4130" i="13"/>
  <c r="AC4129" i="13"/>
  <c r="AC4128" i="13"/>
  <c r="AC4127" i="13"/>
  <c r="AC4126" i="13"/>
  <c r="AC4125" i="13"/>
  <c r="AC4124" i="13"/>
  <c r="AC4123" i="13"/>
  <c r="AC4122" i="13"/>
  <c r="AC4121" i="13"/>
  <c r="AC4120" i="13"/>
  <c r="AC4119" i="13"/>
  <c r="AC4118" i="13"/>
  <c r="AC4117" i="13"/>
  <c r="AC4116" i="13"/>
  <c r="AC4115" i="13"/>
  <c r="AC4114" i="13"/>
  <c r="AC4113" i="13"/>
  <c r="AC4112" i="13"/>
  <c r="AC4111" i="13"/>
  <c r="AC4110" i="13"/>
  <c r="AC4109" i="13"/>
  <c r="AC4108" i="13"/>
  <c r="AC4107" i="13"/>
  <c r="AC4106" i="13"/>
  <c r="AC4105" i="13"/>
  <c r="AC4104" i="13"/>
  <c r="AC4103" i="13"/>
  <c r="AC4102" i="13"/>
  <c r="AC4101" i="13"/>
  <c r="AC4100" i="13"/>
  <c r="AC4099" i="13"/>
  <c r="AC4098" i="13"/>
  <c r="AC4097" i="13"/>
  <c r="AC4096" i="13"/>
  <c r="AC4095" i="13"/>
  <c r="AC4094" i="13"/>
  <c r="AC4093" i="13"/>
  <c r="AC4092" i="13"/>
  <c r="AC4091" i="13"/>
  <c r="AC4090" i="13"/>
  <c r="AC4089" i="13"/>
  <c r="AC4088" i="13"/>
  <c r="AC4087" i="13"/>
  <c r="AC4086" i="13"/>
  <c r="AC4085" i="13"/>
  <c r="AC4084" i="13"/>
  <c r="AC4083" i="13"/>
  <c r="AC4082" i="13"/>
  <c r="AC4081" i="13"/>
  <c r="AC4080" i="13"/>
  <c r="AC4079" i="13"/>
  <c r="AC4078" i="13"/>
  <c r="AC4077" i="13"/>
  <c r="AC4076" i="13"/>
  <c r="AC4075" i="13"/>
  <c r="AC4074" i="13"/>
  <c r="AC4073" i="13"/>
  <c r="AC4072" i="13"/>
  <c r="AC4071" i="13"/>
  <c r="AC4070" i="13"/>
  <c r="AC4069" i="13"/>
  <c r="AC4068" i="13"/>
  <c r="AC4067" i="13"/>
  <c r="AC4066" i="13"/>
  <c r="AC4065" i="13"/>
  <c r="AC4064" i="13"/>
  <c r="AC4063" i="13"/>
  <c r="AC4062" i="13"/>
  <c r="AC4061" i="13"/>
  <c r="AC4060" i="13"/>
  <c r="AC4059" i="13"/>
  <c r="AC4058" i="13"/>
  <c r="AC4057" i="13"/>
  <c r="AC4056" i="13"/>
  <c r="AC4055" i="13"/>
  <c r="AC4054" i="13"/>
  <c r="AC4053" i="13"/>
  <c r="AC4052" i="13"/>
  <c r="AC4051" i="13"/>
  <c r="AC4050" i="13"/>
  <c r="AC4049" i="13"/>
  <c r="AC4048" i="13"/>
  <c r="AC4047" i="13"/>
  <c r="AC4046" i="13"/>
  <c r="AC4045" i="13"/>
  <c r="AC4044" i="13"/>
  <c r="AC4043" i="13"/>
  <c r="AC4042" i="13"/>
  <c r="AC4041" i="13"/>
  <c r="AC4040" i="13"/>
  <c r="AC4039" i="13"/>
  <c r="AC4038" i="13"/>
  <c r="AC4037" i="13"/>
  <c r="AC4036" i="13"/>
  <c r="AC4035" i="13"/>
  <c r="AC4034" i="13"/>
  <c r="AC4033" i="13"/>
  <c r="AC4032" i="13"/>
  <c r="AC4031" i="13"/>
  <c r="AC4030" i="13"/>
  <c r="AC4029" i="13"/>
  <c r="AC4028" i="13"/>
  <c r="AC4027" i="13"/>
  <c r="AC4026" i="13"/>
  <c r="AC4025" i="13"/>
  <c r="AC4024" i="13"/>
  <c r="AC4023" i="13"/>
  <c r="AC4022" i="13"/>
  <c r="AC4021" i="13"/>
  <c r="AC4020" i="13"/>
  <c r="AC4019" i="13"/>
  <c r="AC4018" i="13"/>
  <c r="AC4017" i="13"/>
  <c r="AC4016" i="13"/>
  <c r="AC4015" i="13"/>
  <c r="AC4014" i="13"/>
  <c r="AC4013" i="13"/>
  <c r="AC4012" i="13"/>
  <c r="AC4011" i="13"/>
  <c r="AC4010" i="13"/>
  <c r="AC4009" i="13"/>
  <c r="AC4008" i="13"/>
  <c r="AC4007" i="13"/>
  <c r="AC4006" i="13"/>
  <c r="AC4005" i="13"/>
  <c r="AC4004" i="13"/>
  <c r="AC4003" i="13"/>
  <c r="AC4002" i="13"/>
  <c r="AC4001" i="13"/>
  <c r="AC4000" i="13"/>
  <c r="AC3999" i="13"/>
  <c r="AC3998" i="13"/>
  <c r="AC3997" i="13"/>
  <c r="AC3996" i="13"/>
  <c r="AC3995" i="13"/>
  <c r="AC3994" i="13"/>
  <c r="AC3993" i="13"/>
  <c r="AC3992" i="13"/>
  <c r="AC3991" i="13"/>
  <c r="AC3990" i="13"/>
  <c r="AC3989" i="13"/>
  <c r="AC3988" i="13"/>
  <c r="AC3987" i="13"/>
  <c r="AC3986" i="13"/>
  <c r="AC3985" i="13"/>
  <c r="AC3984" i="13"/>
  <c r="AC3983" i="13"/>
  <c r="AC3982" i="13"/>
  <c r="AC3981" i="13"/>
  <c r="AC3980" i="13"/>
  <c r="AC3979" i="13"/>
  <c r="AC3978" i="13"/>
  <c r="AC3977" i="13"/>
  <c r="AC3976" i="13"/>
  <c r="AC3975" i="13"/>
  <c r="AC3974" i="13"/>
  <c r="AC3973" i="13"/>
  <c r="AC3972" i="13"/>
  <c r="AC3971" i="13"/>
  <c r="AC3970" i="13"/>
  <c r="AC3969" i="13"/>
  <c r="AC3968" i="13"/>
  <c r="AC3967" i="13"/>
  <c r="AC3966" i="13"/>
  <c r="AC3965" i="13"/>
  <c r="AC3964" i="13"/>
  <c r="AC3963" i="13"/>
  <c r="AC3962" i="13"/>
  <c r="AC3961" i="13"/>
  <c r="AC3960" i="13"/>
  <c r="AC3959" i="13"/>
  <c r="AC3958" i="13"/>
  <c r="AC3957" i="13"/>
  <c r="AC3956" i="13"/>
  <c r="AC3955" i="13"/>
  <c r="AC3954" i="13"/>
  <c r="AC3953" i="13"/>
  <c r="AC3952" i="13"/>
  <c r="AC3951" i="13"/>
  <c r="AC3950" i="13"/>
  <c r="AC3949" i="13"/>
  <c r="AC3948" i="13"/>
  <c r="AC3947" i="13"/>
  <c r="AC3946" i="13"/>
  <c r="AC3945" i="13"/>
  <c r="AC3944" i="13"/>
  <c r="AC3943" i="13"/>
  <c r="AC3942" i="13"/>
  <c r="AC3941" i="13"/>
  <c r="AC3940" i="13"/>
  <c r="AC3939" i="13"/>
  <c r="AC3938" i="13"/>
  <c r="AC3937" i="13"/>
  <c r="AC3936" i="13"/>
  <c r="AC3935" i="13"/>
  <c r="AC3934" i="13"/>
  <c r="AC3933" i="13"/>
  <c r="AC3932" i="13"/>
  <c r="AC3931" i="13"/>
  <c r="AC3930" i="13"/>
  <c r="AC3929" i="13"/>
  <c r="AC3928" i="13"/>
  <c r="AC3927" i="13"/>
  <c r="AC3926" i="13"/>
  <c r="AC3925" i="13"/>
  <c r="AC3924" i="13"/>
  <c r="AC3923" i="13"/>
  <c r="AC3922" i="13"/>
  <c r="AC3921" i="13"/>
  <c r="AC3920" i="13"/>
  <c r="AC3919" i="13"/>
  <c r="AC3918" i="13"/>
  <c r="AC3917" i="13"/>
  <c r="AC3916" i="13"/>
  <c r="AC3915" i="13"/>
  <c r="AC3914" i="13"/>
  <c r="AC3913" i="13"/>
  <c r="AC3912" i="13"/>
  <c r="AC3911" i="13"/>
  <c r="AC3910" i="13"/>
  <c r="AC3909" i="13"/>
  <c r="AC3908" i="13"/>
  <c r="AC3907" i="13"/>
  <c r="AC3906" i="13"/>
  <c r="AC3905" i="13"/>
  <c r="AC3904" i="13"/>
  <c r="AC3903" i="13"/>
  <c r="AC3902" i="13"/>
  <c r="AC3901" i="13"/>
  <c r="AC3900" i="13"/>
  <c r="AC3899" i="13"/>
  <c r="AC3898" i="13"/>
  <c r="AC3897" i="13"/>
  <c r="AC3896" i="13"/>
  <c r="AC3895" i="13"/>
  <c r="AC3894" i="13"/>
  <c r="AC3893" i="13"/>
  <c r="AC3892" i="13"/>
  <c r="AC3891" i="13"/>
  <c r="AC3890" i="13"/>
  <c r="AC3889" i="13"/>
  <c r="AC3888" i="13"/>
  <c r="AC3887" i="13"/>
  <c r="AC3886" i="13"/>
  <c r="AC3885" i="13"/>
  <c r="AC3884" i="13"/>
  <c r="AC3883" i="13"/>
  <c r="AC3882" i="13"/>
  <c r="AC3881" i="13"/>
  <c r="AC3880" i="13"/>
  <c r="AC3879" i="13"/>
  <c r="AC3878" i="13"/>
  <c r="AC3877" i="13"/>
  <c r="AC3876" i="13"/>
  <c r="AC3875" i="13"/>
  <c r="AC3874" i="13"/>
  <c r="AC3873" i="13"/>
  <c r="AC3872" i="13"/>
  <c r="AC3871" i="13"/>
  <c r="AC3870" i="13"/>
  <c r="AC3869" i="13"/>
  <c r="AC3868" i="13"/>
  <c r="AC3867" i="13"/>
  <c r="AC3866" i="13"/>
  <c r="AC3865" i="13"/>
  <c r="AC3864" i="13"/>
  <c r="AC3863" i="13"/>
  <c r="AC3862" i="13"/>
  <c r="AC3861" i="13"/>
  <c r="AC3860" i="13"/>
  <c r="AC3859" i="13"/>
  <c r="AC3858" i="13"/>
  <c r="AC3857" i="13"/>
  <c r="AC3856" i="13"/>
  <c r="AC3855" i="13"/>
  <c r="AC3854" i="13"/>
  <c r="AC3853" i="13"/>
  <c r="AC3852" i="13"/>
  <c r="AC3851" i="13"/>
  <c r="AC3850" i="13"/>
  <c r="AC3849" i="13"/>
  <c r="AC3848" i="13"/>
  <c r="AC3847" i="13"/>
  <c r="AC3846" i="13"/>
  <c r="AC3845" i="13"/>
  <c r="AC3844" i="13"/>
  <c r="AC3843" i="13"/>
  <c r="AC3842" i="13"/>
  <c r="AC3841" i="13"/>
  <c r="AC3840" i="13"/>
  <c r="AC3839" i="13"/>
  <c r="AC3838" i="13"/>
  <c r="AC3837" i="13"/>
  <c r="AC3836" i="13"/>
  <c r="AC3835" i="13"/>
  <c r="AC3834" i="13"/>
  <c r="AC3833" i="13"/>
  <c r="AC3832" i="13"/>
  <c r="AC3831" i="13"/>
  <c r="AC3830" i="13"/>
  <c r="AC3829" i="13"/>
  <c r="AC3828" i="13"/>
  <c r="AC3827" i="13"/>
  <c r="AC3826" i="13"/>
  <c r="AC3825" i="13"/>
  <c r="AC3824" i="13"/>
  <c r="AC3823" i="13"/>
  <c r="AC3822" i="13"/>
  <c r="AC3821" i="13"/>
  <c r="AC3820" i="13"/>
  <c r="AC3819" i="13"/>
  <c r="AC3818" i="13"/>
  <c r="AC3817" i="13"/>
  <c r="AC3816" i="13"/>
  <c r="AC3815" i="13"/>
  <c r="AC3814" i="13"/>
  <c r="AC3813" i="13"/>
  <c r="AC3812" i="13"/>
  <c r="AC3811" i="13"/>
  <c r="AC3810" i="13"/>
  <c r="AC3809" i="13"/>
  <c r="AC3808" i="13"/>
  <c r="AC3807" i="13"/>
  <c r="AC3806" i="13"/>
  <c r="AC3805" i="13"/>
  <c r="AC3804" i="13"/>
  <c r="AC3803" i="13"/>
  <c r="AC3802" i="13"/>
  <c r="AC3801" i="13"/>
  <c r="AC3800" i="13"/>
  <c r="AC3799" i="13"/>
  <c r="AC3798" i="13"/>
  <c r="AC3797" i="13"/>
  <c r="AC3796" i="13"/>
  <c r="AC3795" i="13"/>
  <c r="AC3794" i="13"/>
  <c r="AC3793" i="13"/>
  <c r="AC3792" i="13"/>
  <c r="AC3791" i="13"/>
  <c r="AC3790" i="13"/>
  <c r="AC3789" i="13"/>
  <c r="AC3788" i="13"/>
  <c r="AC3787" i="13"/>
  <c r="AC3786" i="13"/>
  <c r="AC3785" i="13"/>
  <c r="AC3784" i="13"/>
  <c r="AC3783" i="13"/>
  <c r="AC3782" i="13"/>
  <c r="AC3781" i="13"/>
  <c r="AC3780" i="13"/>
  <c r="AC3779" i="13"/>
  <c r="AC3778" i="13"/>
  <c r="AC3777" i="13"/>
  <c r="AC3776" i="13"/>
  <c r="AC3775" i="13"/>
  <c r="AC3774" i="13"/>
  <c r="AC3773" i="13"/>
  <c r="AC3772" i="13"/>
  <c r="AC3771" i="13"/>
  <c r="AC3770" i="13"/>
  <c r="AC3769" i="13"/>
  <c r="AC3768" i="13"/>
  <c r="AC3767" i="13"/>
  <c r="AC3766" i="13"/>
  <c r="AC3765" i="13"/>
  <c r="AC3764" i="13"/>
  <c r="AC3763" i="13"/>
  <c r="AC3762" i="13"/>
  <c r="AC3761" i="13"/>
  <c r="AC3760" i="13"/>
  <c r="AC3759" i="13"/>
  <c r="AC3758" i="13"/>
  <c r="AC3757" i="13"/>
  <c r="AC3756" i="13"/>
  <c r="AC3755" i="13"/>
  <c r="AC3754" i="13"/>
  <c r="AC3753" i="13"/>
  <c r="AC3752" i="13"/>
  <c r="AC3751" i="13"/>
  <c r="AC3750" i="13"/>
  <c r="AC3749" i="13"/>
  <c r="AC3748" i="13"/>
  <c r="AC3747" i="13"/>
  <c r="AC3746" i="13"/>
  <c r="AC3745" i="13"/>
  <c r="AC3744" i="13"/>
  <c r="AC3743" i="13"/>
  <c r="AC3742" i="13"/>
  <c r="AC3741" i="13"/>
  <c r="AC3740" i="13"/>
  <c r="AC3739" i="13"/>
  <c r="AC3738" i="13"/>
  <c r="AC3737" i="13"/>
  <c r="AC3736" i="13"/>
  <c r="AC3735" i="13"/>
  <c r="AC3734" i="13"/>
  <c r="AC3733" i="13"/>
  <c r="AC3732" i="13"/>
  <c r="AC3731" i="13"/>
  <c r="AC3730" i="13"/>
  <c r="AC3729" i="13"/>
  <c r="AC3728" i="13"/>
  <c r="AC3727" i="13"/>
  <c r="AC3726" i="13"/>
  <c r="AC3725" i="13"/>
  <c r="AC3724" i="13"/>
  <c r="AC3723" i="13"/>
  <c r="AC3722" i="13"/>
  <c r="AC3721" i="13"/>
  <c r="AC3720" i="13"/>
  <c r="AC3719" i="13"/>
  <c r="AC3718" i="13"/>
  <c r="AC3717" i="13"/>
  <c r="AC3716" i="13"/>
  <c r="AC3715" i="13"/>
  <c r="AC3714" i="13"/>
  <c r="AC3713" i="13"/>
  <c r="AC3712" i="13"/>
  <c r="AC3711" i="13"/>
  <c r="AC3710" i="13"/>
  <c r="AC3709" i="13"/>
  <c r="AC3708" i="13"/>
  <c r="AC3707" i="13"/>
  <c r="AC3706" i="13"/>
  <c r="AC3705" i="13"/>
  <c r="AC3704" i="13"/>
  <c r="AC3703" i="13"/>
  <c r="AC3702" i="13"/>
  <c r="AC3701" i="13"/>
  <c r="AC3700" i="13"/>
  <c r="AC3699" i="13"/>
  <c r="AC3698" i="13"/>
  <c r="AC3697" i="13"/>
  <c r="AC3696" i="13"/>
  <c r="AC3695" i="13"/>
  <c r="AC3694" i="13"/>
  <c r="AC3693" i="13"/>
  <c r="AC3692" i="13"/>
  <c r="AC3691" i="13"/>
  <c r="AC3690" i="13"/>
  <c r="AC3689" i="13"/>
  <c r="AC3688" i="13"/>
  <c r="AC3687" i="13"/>
  <c r="AC3686" i="13"/>
  <c r="AC3685" i="13"/>
  <c r="AC3684" i="13"/>
  <c r="AC3683" i="13"/>
  <c r="AC3682" i="13"/>
  <c r="AC3681" i="13"/>
  <c r="AC3680" i="13"/>
  <c r="AC3679" i="13"/>
  <c r="AC3678" i="13"/>
  <c r="AC3677" i="13"/>
  <c r="AC3676" i="13"/>
  <c r="AC3675" i="13"/>
  <c r="AC3674" i="13"/>
  <c r="AC3673" i="13"/>
  <c r="AC3672" i="13"/>
  <c r="AC3671" i="13"/>
  <c r="AC3670" i="13"/>
  <c r="AC3669" i="13"/>
  <c r="AC3668" i="13"/>
  <c r="AC3667" i="13"/>
  <c r="AC3666" i="13"/>
  <c r="AC3665" i="13"/>
  <c r="AC3664" i="13"/>
  <c r="AC3663" i="13"/>
  <c r="AC3662" i="13"/>
  <c r="AC3661" i="13"/>
  <c r="AC3660" i="13"/>
  <c r="AC3659" i="13"/>
  <c r="AC3658" i="13"/>
  <c r="AC3657" i="13"/>
  <c r="AC3656" i="13"/>
  <c r="AC3655" i="13"/>
  <c r="AC3654" i="13"/>
  <c r="AC3653" i="13"/>
  <c r="AC3652" i="13"/>
  <c r="AC3651" i="13"/>
  <c r="AC3650" i="13"/>
  <c r="AC3649" i="13"/>
  <c r="AC3648" i="13"/>
  <c r="AC3647" i="13"/>
  <c r="AC3646" i="13"/>
  <c r="AC3645" i="13"/>
  <c r="AC3644" i="13"/>
  <c r="AC3643" i="13"/>
  <c r="AC3642" i="13"/>
  <c r="AC3641" i="13"/>
  <c r="AC3640" i="13"/>
  <c r="AC3639" i="13"/>
  <c r="AC3638" i="13"/>
  <c r="AC3637" i="13"/>
  <c r="AC3636" i="13"/>
  <c r="AC3635" i="13"/>
  <c r="AC3634" i="13"/>
  <c r="AC3633" i="13"/>
  <c r="AC3632" i="13"/>
  <c r="AC3631" i="13"/>
  <c r="AC3630" i="13"/>
  <c r="AC3629" i="13"/>
  <c r="AC3628" i="13"/>
  <c r="AC3627" i="13"/>
  <c r="AC3626" i="13"/>
  <c r="AC3625" i="13"/>
  <c r="AC3624" i="13"/>
  <c r="AC3623" i="13"/>
  <c r="AC3622" i="13"/>
  <c r="AC3621" i="13"/>
  <c r="AC3620" i="13"/>
  <c r="AC3619" i="13"/>
  <c r="AC3618" i="13"/>
  <c r="AC3617" i="13"/>
  <c r="AC3616" i="13"/>
  <c r="AC3615" i="13"/>
  <c r="AC3614" i="13"/>
  <c r="AC3613" i="13"/>
  <c r="AC3612" i="13"/>
  <c r="AC3611" i="13"/>
  <c r="AC3610" i="13"/>
  <c r="AC3609" i="13"/>
  <c r="AC3608" i="13"/>
  <c r="AC3607" i="13"/>
  <c r="AC3606" i="13"/>
  <c r="AC3605" i="13"/>
  <c r="AC3604" i="13"/>
  <c r="AC3603" i="13"/>
  <c r="AC3602" i="13"/>
  <c r="AC3601" i="13"/>
  <c r="AC3600" i="13"/>
  <c r="AC3599" i="13"/>
  <c r="AC3598" i="13"/>
  <c r="AC3597" i="13"/>
  <c r="AC3596" i="13"/>
  <c r="AC3595" i="13"/>
  <c r="AC3594" i="13"/>
  <c r="AC3593" i="13"/>
  <c r="AC3592" i="13"/>
  <c r="AC3591" i="13"/>
  <c r="AC3590" i="13"/>
  <c r="AC3589" i="13"/>
  <c r="AC3588" i="13"/>
  <c r="AC3587" i="13"/>
  <c r="AC3586" i="13"/>
  <c r="AC3585" i="13"/>
  <c r="AC3584" i="13"/>
  <c r="AC3583" i="13"/>
  <c r="AC3582" i="13"/>
  <c r="AC3581" i="13"/>
  <c r="AC3580" i="13"/>
  <c r="AC3579" i="13"/>
  <c r="AC3578" i="13"/>
  <c r="AC3577" i="13"/>
  <c r="AC3576" i="13"/>
  <c r="AC3575" i="13"/>
  <c r="AC3574" i="13"/>
  <c r="AC3573" i="13"/>
  <c r="AC3572" i="13"/>
  <c r="AC3571" i="13"/>
  <c r="AC3570" i="13"/>
  <c r="AC3569" i="13"/>
  <c r="AC3568" i="13"/>
  <c r="AC3567" i="13"/>
  <c r="AC3566" i="13"/>
  <c r="AC3565" i="13"/>
  <c r="AC3564" i="13"/>
  <c r="AC3563" i="13"/>
  <c r="AC3562" i="13"/>
  <c r="AC3561" i="13"/>
  <c r="AC3560" i="13"/>
  <c r="AC3559" i="13"/>
  <c r="AC3558" i="13"/>
  <c r="AC3557" i="13"/>
  <c r="AC3556" i="13"/>
  <c r="AC3555" i="13"/>
  <c r="AC3554" i="13"/>
  <c r="AC3553" i="13"/>
  <c r="AC3552" i="13"/>
  <c r="AC3551" i="13"/>
  <c r="AC3550" i="13"/>
  <c r="AC3549" i="13"/>
  <c r="AC3548" i="13"/>
  <c r="AC3547" i="13"/>
  <c r="AC3546" i="13"/>
  <c r="AC3545" i="13"/>
  <c r="AC3544" i="13"/>
  <c r="AC3543" i="13"/>
  <c r="AC3542" i="13"/>
  <c r="AC3541" i="13"/>
  <c r="AC3540" i="13"/>
  <c r="AC3539" i="13"/>
  <c r="AC3538" i="13"/>
  <c r="AC3537" i="13"/>
  <c r="AC3536" i="13"/>
  <c r="AC3535" i="13"/>
  <c r="AC3534" i="13"/>
  <c r="AC3533" i="13"/>
  <c r="AC3532" i="13"/>
  <c r="AC3531" i="13"/>
  <c r="AC3530" i="13"/>
  <c r="AC3529" i="13"/>
  <c r="AC3528" i="13"/>
  <c r="AC3527" i="13"/>
  <c r="AC3526" i="13"/>
  <c r="AC3525" i="13"/>
  <c r="AC3524" i="13"/>
  <c r="AC3523" i="13"/>
  <c r="AC3522" i="13"/>
  <c r="AC3521" i="13"/>
  <c r="AC3520" i="13"/>
  <c r="AC3519" i="13"/>
  <c r="AC3518" i="13"/>
  <c r="AC3517" i="13"/>
  <c r="AC3516" i="13"/>
  <c r="AC3515" i="13"/>
  <c r="AC3514" i="13"/>
  <c r="AC3513" i="13"/>
  <c r="AC3512" i="13"/>
  <c r="AC3511" i="13"/>
  <c r="AC3510" i="13"/>
  <c r="AC3509" i="13"/>
  <c r="AC3508" i="13"/>
  <c r="AC3507" i="13"/>
  <c r="AC3506" i="13"/>
  <c r="AC3505" i="13"/>
  <c r="AC3504" i="13"/>
  <c r="AC3503" i="13"/>
  <c r="AC3502" i="13"/>
  <c r="AC3501" i="13"/>
  <c r="AC3500" i="13"/>
  <c r="AC3499" i="13"/>
  <c r="AC3498" i="13"/>
  <c r="AC3497" i="13"/>
  <c r="AC3496" i="13"/>
  <c r="AC3495" i="13"/>
  <c r="AC3494" i="13"/>
  <c r="AC3493" i="13"/>
  <c r="AC3492" i="13"/>
  <c r="AC3491" i="13"/>
  <c r="AC3490" i="13"/>
  <c r="AC3489" i="13"/>
  <c r="AC3488" i="13"/>
  <c r="AC3487" i="13"/>
  <c r="AC3486" i="13"/>
  <c r="AC3485" i="13"/>
  <c r="AC3484" i="13"/>
  <c r="AC3483" i="13"/>
  <c r="AC3482" i="13"/>
  <c r="AC3481" i="13"/>
  <c r="AC3480" i="13"/>
  <c r="AC3479" i="13"/>
  <c r="AC3478" i="13"/>
  <c r="AC3477" i="13"/>
  <c r="AC3476" i="13"/>
  <c r="AC3475" i="13"/>
  <c r="AC3474" i="13"/>
  <c r="AC3473" i="13"/>
  <c r="AC3472" i="13"/>
  <c r="AC3471" i="13"/>
  <c r="AC3470" i="13"/>
  <c r="AC3469" i="13"/>
  <c r="AC3468" i="13"/>
  <c r="AC3467" i="13"/>
  <c r="AC3466" i="13"/>
  <c r="AC3465" i="13"/>
  <c r="AC3464" i="13"/>
  <c r="AC3463" i="13"/>
  <c r="AC3462" i="13"/>
  <c r="AC3461" i="13"/>
  <c r="AC3460" i="13"/>
  <c r="AC3459" i="13"/>
  <c r="AC3458" i="13"/>
  <c r="AC3457" i="13"/>
  <c r="AC3456" i="13"/>
  <c r="AC3455" i="13"/>
  <c r="AC3454" i="13"/>
  <c r="AC3453" i="13"/>
  <c r="AC3452" i="13"/>
  <c r="AC3451" i="13"/>
  <c r="AC3450" i="13"/>
  <c r="AC3449" i="13"/>
  <c r="AC3448" i="13"/>
  <c r="AC3447" i="13"/>
  <c r="AC3446" i="13"/>
  <c r="AC3445" i="13"/>
  <c r="AC3444" i="13"/>
  <c r="AC3443" i="13"/>
  <c r="AC3442" i="13"/>
  <c r="AC3441" i="13"/>
  <c r="AC3440" i="13"/>
  <c r="AC3439" i="13"/>
  <c r="AC3438" i="13"/>
  <c r="AC3437" i="13"/>
  <c r="AC3436" i="13"/>
  <c r="AC3435" i="13"/>
  <c r="AC3434" i="13"/>
  <c r="AC3433" i="13"/>
  <c r="AC3432" i="13"/>
  <c r="AC3431" i="13"/>
  <c r="AC3430" i="13"/>
  <c r="AC3429" i="13"/>
  <c r="AC3428" i="13"/>
  <c r="AC3427" i="13"/>
  <c r="AC3426" i="13"/>
  <c r="AC3425" i="13"/>
  <c r="AC3424" i="13"/>
  <c r="AC3423" i="13"/>
  <c r="AC3422" i="13"/>
  <c r="AC3421" i="13"/>
  <c r="AC3420" i="13"/>
  <c r="AC3419" i="13"/>
  <c r="AC3418" i="13"/>
  <c r="AC3417" i="13"/>
  <c r="AC3416" i="13"/>
  <c r="AC3415" i="13"/>
  <c r="AC3414" i="13"/>
  <c r="AC3413" i="13"/>
  <c r="AC3412" i="13"/>
  <c r="AC3411" i="13"/>
  <c r="AC3410" i="13"/>
  <c r="AC3409" i="13"/>
  <c r="AC3408" i="13"/>
  <c r="AC3407" i="13"/>
  <c r="AC3406" i="13"/>
  <c r="AC3405" i="13"/>
  <c r="AC3404" i="13"/>
  <c r="AC3403" i="13"/>
  <c r="AC3402" i="13"/>
  <c r="AC3401" i="13"/>
  <c r="AC3400" i="13"/>
  <c r="AC3399" i="13"/>
  <c r="AC3398" i="13"/>
  <c r="AC3397" i="13"/>
  <c r="AC3396" i="13"/>
  <c r="AC3395" i="13"/>
  <c r="AC3394" i="13"/>
  <c r="AC3393" i="13"/>
  <c r="AC3392" i="13"/>
  <c r="AC3391" i="13"/>
  <c r="AC3390" i="13"/>
  <c r="AC3389" i="13"/>
  <c r="AC3388" i="13"/>
  <c r="AC3387" i="13"/>
  <c r="AC3386" i="13"/>
  <c r="AC3385" i="13"/>
  <c r="AC3384" i="13"/>
  <c r="AC3383" i="13"/>
  <c r="AC3382" i="13"/>
  <c r="AC3381" i="13"/>
  <c r="AC3380" i="13"/>
  <c r="AC3379" i="13"/>
  <c r="AC3378" i="13"/>
  <c r="AC3377" i="13"/>
  <c r="AC3376" i="13"/>
  <c r="AC3375" i="13"/>
  <c r="AC3374" i="13"/>
  <c r="AC3373" i="13"/>
  <c r="AC3372" i="13"/>
  <c r="AC3371" i="13"/>
  <c r="AC3370" i="13"/>
  <c r="AC3369" i="13"/>
  <c r="AC3368" i="13"/>
  <c r="AC3367" i="13"/>
  <c r="AC3366" i="13"/>
  <c r="AC3365" i="13"/>
  <c r="AC3364" i="13"/>
  <c r="AC3363" i="13"/>
  <c r="AC3362" i="13"/>
  <c r="AC3361" i="13"/>
  <c r="AC3360" i="13"/>
  <c r="AC3359" i="13"/>
  <c r="AC3358" i="13"/>
  <c r="AC3357" i="13"/>
  <c r="AC3356" i="13"/>
  <c r="AC3355" i="13"/>
  <c r="AC3354" i="13"/>
  <c r="AC3353" i="13"/>
  <c r="AC3352" i="13"/>
  <c r="AC3351" i="13"/>
  <c r="AC3350" i="13"/>
  <c r="AC3349" i="13"/>
  <c r="AC3348" i="13"/>
  <c r="AC3347" i="13"/>
  <c r="AC3346" i="13"/>
  <c r="AC3345" i="13"/>
  <c r="AC3344" i="13"/>
  <c r="AC3343" i="13"/>
  <c r="AC3342" i="13"/>
  <c r="AC3341" i="13"/>
  <c r="AC3340" i="13"/>
  <c r="AC3339" i="13"/>
  <c r="AC3338" i="13"/>
  <c r="AC3337" i="13"/>
  <c r="AC3336" i="13"/>
  <c r="AC3335" i="13"/>
  <c r="AC3334" i="13"/>
  <c r="AC3333" i="13"/>
  <c r="AC3332" i="13"/>
  <c r="AC3331" i="13"/>
  <c r="AC3330" i="13"/>
  <c r="AC3329" i="13"/>
  <c r="AC3328" i="13"/>
  <c r="AC3327" i="13"/>
  <c r="AC3326" i="13"/>
  <c r="AC3325" i="13"/>
  <c r="AC3324" i="13"/>
  <c r="AC3323" i="13"/>
  <c r="AC3322" i="13"/>
  <c r="AC3321" i="13"/>
  <c r="AC3320" i="13"/>
  <c r="AC3319" i="13"/>
  <c r="AC3318" i="13"/>
  <c r="AC3317" i="13"/>
  <c r="AC3316" i="13"/>
  <c r="AC3315" i="13"/>
  <c r="AC3314" i="13"/>
  <c r="AC3313" i="13"/>
  <c r="AC3312" i="13"/>
  <c r="AC3311" i="13"/>
  <c r="AC3310" i="13"/>
  <c r="AC3309" i="13"/>
  <c r="AC3308" i="13"/>
  <c r="AC3307" i="13"/>
  <c r="AC3306" i="13"/>
  <c r="AC3305" i="13"/>
  <c r="AC3304" i="13"/>
  <c r="AC3303" i="13"/>
  <c r="AC3302" i="13"/>
  <c r="AC3301" i="13"/>
  <c r="AC3300" i="13"/>
  <c r="AC3299" i="13"/>
  <c r="AC3298" i="13"/>
  <c r="AC3297" i="13"/>
  <c r="AC3296" i="13"/>
  <c r="AC3295" i="13"/>
  <c r="AC3294" i="13"/>
  <c r="AC3293" i="13"/>
  <c r="AC3292" i="13"/>
  <c r="AC3291" i="13"/>
  <c r="AC3290" i="13"/>
  <c r="AC3289" i="13"/>
  <c r="AC3288" i="13"/>
  <c r="AC3287" i="13"/>
  <c r="AC3286" i="13"/>
  <c r="AC3285" i="13"/>
  <c r="AC3284" i="13"/>
  <c r="AC3283" i="13"/>
  <c r="AC3282" i="13"/>
  <c r="AC3281" i="13"/>
  <c r="AC3280" i="13"/>
  <c r="AC3279" i="13"/>
  <c r="AC3278" i="13"/>
  <c r="AC3277" i="13"/>
  <c r="AC3276" i="13"/>
  <c r="AC3275" i="13"/>
  <c r="AC3274" i="13"/>
  <c r="AC3273" i="13"/>
  <c r="AC3272" i="13"/>
  <c r="AC3271" i="13"/>
  <c r="AC3270" i="13"/>
  <c r="AC3269" i="13"/>
  <c r="AC3268" i="13"/>
  <c r="AC3267" i="13"/>
  <c r="AC3266" i="13"/>
  <c r="AC3265" i="13"/>
  <c r="AC3264" i="13"/>
  <c r="AC3263" i="13"/>
  <c r="AC3262" i="13"/>
  <c r="AC3261" i="13"/>
  <c r="AC3260" i="13"/>
  <c r="AC3259" i="13"/>
  <c r="AC3258" i="13"/>
  <c r="AC3257" i="13"/>
  <c r="AC3256" i="13"/>
  <c r="AC3255" i="13"/>
  <c r="AC3254" i="13"/>
  <c r="AC3253" i="13"/>
  <c r="AC3252" i="13"/>
  <c r="AC3251" i="13"/>
  <c r="AC3250" i="13"/>
  <c r="AC3249" i="13"/>
  <c r="AC3248" i="13"/>
  <c r="AC3247" i="13"/>
  <c r="AC3246" i="13"/>
  <c r="AC3245" i="13"/>
  <c r="AC3244" i="13"/>
  <c r="AC3243" i="13"/>
  <c r="AC3242" i="13"/>
  <c r="AC3241" i="13"/>
  <c r="AC3240" i="13"/>
  <c r="AC3239" i="13"/>
  <c r="AC3238" i="13"/>
  <c r="AC3237" i="13"/>
  <c r="AC3236" i="13"/>
  <c r="AC3235" i="13"/>
  <c r="AC3234" i="13"/>
  <c r="AC3233" i="13"/>
  <c r="AC3232" i="13"/>
  <c r="AC3231" i="13"/>
  <c r="AC3230" i="13"/>
  <c r="AC3229" i="13"/>
  <c r="AC3228" i="13"/>
  <c r="AC3227" i="13"/>
  <c r="AC3226" i="13"/>
  <c r="AC3225" i="13"/>
  <c r="AC3224" i="13"/>
  <c r="AC3223" i="13"/>
  <c r="AC3222" i="13"/>
  <c r="AC3221" i="13"/>
  <c r="AC3220" i="13"/>
  <c r="AC3219" i="13"/>
  <c r="AC3218" i="13"/>
  <c r="AC3217" i="13"/>
  <c r="AC3216" i="13"/>
  <c r="AC3215" i="13"/>
  <c r="AC3214" i="13"/>
  <c r="AC3213" i="13"/>
  <c r="AC3212" i="13"/>
  <c r="AC3211" i="13"/>
  <c r="AC3210" i="13"/>
  <c r="AC3209" i="13"/>
  <c r="AC3208" i="13"/>
  <c r="AC3207" i="13"/>
  <c r="AC3206" i="13"/>
  <c r="AC3205" i="13"/>
  <c r="AC3204" i="13"/>
  <c r="AC3203" i="13"/>
  <c r="AC3202" i="13"/>
  <c r="AC3201" i="13"/>
  <c r="AC3200" i="13"/>
  <c r="AC3199" i="13"/>
  <c r="AC3198" i="13"/>
  <c r="AC3197" i="13"/>
  <c r="AC3196" i="13"/>
  <c r="AC3195" i="13"/>
  <c r="AC3194" i="13"/>
  <c r="AC3193" i="13"/>
  <c r="AC3192" i="13"/>
  <c r="AC3191" i="13"/>
  <c r="AC3190" i="13"/>
  <c r="AC3189" i="13"/>
  <c r="AC3188" i="13"/>
  <c r="AC3187" i="13"/>
  <c r="AC3186" i="13"/>
  <c r="AC3185" i="13"/>
  <c r="AC3184" i="13"/>
  <c r="AC3183" i="13"/>
  <c r="AC3182" i="13"/>
  <c r="AC3181" i="13"/>
  <c r="AC3180" i="13"/>
  <c r="AC3179" i="13"/>
  <c r="AC3178" i="13"/>
  <c r="AC3177" i="13"/>
  <c r="AC3176" i="13"/>
  <c r="AC3175" i="13"/>
  <c r="AC3174" i="13"/>
  <c r="AC3173" i="13"/>
  <c r="AC3172" i="13"/>
  <c r="AC3171" i="13"/>
  <c r="AC3170" i="13"/>
  <c r="AC3169" i="13"/>
  <c r="AC3168" i="13"/>
  <c r="AC3167" i="13"/>
  <c r="AC3166" i="13"/>
  <c r="AC3165" i="13"/>
  <c r="AC3164" i="13"/>
  <c r="AC3163" i="13"/>
  <c r="AC3162" i="13"/>
  <c r="AC3161" i="13"/>
  <c r="AC3160" i="13"/>
  <c r="AC3159" i="13"/>
  <c r="AC3158" i="13"/>
  <c r="AC3157" i="13"/>
  <c r="AC3156" i="13"/>
  <c r="AC3155" i="13"/>
  <c r="AC3154" i="13"/>
  <c r="AC3153" i="13"/>
  <c r="AC3152" i="13"/>
  <c r="AC3151" i="13"/>
  <c r="AC3150" i="13"/>
  <c r="AC3149" i="13"/>
  <c r="AC3148" i="13"/>
  <c r="AC3147" i="13"/>
  <c r="AC3146" i="13"/>
  <c r="AC3145" i="13"/>
  <c r="AC3144" i="13"/>
  <c r="AC3143" i="13"/>
  <c r="AC3142" i="13"/>
  <c r="AC3141" i="13"/>
  <c r="AC3140" i="13"/>
  <c r="AC3139" i="13"/>
  <c r="AC3138" i="13"/>
  <c r="AC3137" i="13"/>
  <c r="AC3136" i="13"/>
  <c r="AC3135" i="13"/>
  <c r="AC3134" i="13"/>
  <c r="AC3133" i="13"/>
  <c r="AC3132" i="13"/>
  <c r="AC3131" i="13"/>
  <c r="AC3130" i="13"/>
  <c r="AC3129" i="13"/>
  <c r="AC3128" i="13"/>
  <c r="AC3127" i="13"/>
  <c r="AC3126" i="13"/>
  <c r="AC3125" i="13"/>
  <c r="AC3124" i="13"/>
  <c r="AC3123" i="13"/>
  <c r="AC3122" i="13"/>
  <c r="AC3121" i="13"/>
  <c r="AC3120" i="13"/>
  <c r="AC3119" i="13"/>
  <c r="AC3118" i="13"/>
  <c r="AC3117" i="13"/>
  <c r="AC3116" i="13"/>
  <c r="AC3115" i="13"/>
  <c r="AC3114" i="13"/>
  <c r="AC3113" i="13"/>
  <c r="AC3112" i="13"/>
  <c r="AC3111" i="13"/>
  <c r="AC3110" i="13"/>
  <c r="AC3109" i="13"/>
  <c r="AC3108" i="13"/>
  <c r="AC3107" i="13"/>
  <c r="AC3106" i="13"/>
  <c r="AC3105" i="13"/>
  <c r="AC3104" i="13"/>
  <c r="AC3103" i="13"/>
  <c r="AC3102" i="13"/>
  <c r="AC3101" i="13"/>
  <c r="AC3100" i="13"/>
  <c r="AC3099" i="13"/>
  <c r="AC3098" i="13"/>
  <c r="AC3097" i="13"/>
  <c r="AC3096" i="13"/>
  <c r="AC3095" i="13"/>
  <c r="AC3094" i="13"/>
  <c r="AC3093" i="13"/>
  <c r="AC3092" i="13"/>
  <c r="AC3091" i="13"/>
  <c r="AC3090" i="13"/>
  <c r="AC3089" i="13"/>
  <c r="AC3088" i="13"/>
  <c r="AC3087" i="13"/>
  <c r="AC3086" i="13"/>
  <c r="AC3085" i="13"/>
  <c r="AC3084" i="13"/>
  <c r="AC3083" i="13"/>
  <c r="AC3082" i="13"/>
  <c r="AC3081" i="13"/>
  <c r="AC3080" i="13"/>
  <c r="AC3079" i="13"/>
  <c r="AC3078" i="13"/>
  <c r="AC3077" i="13"/>
  <c r="AC3076" i="13"/>
  <c r="AC3075" i="13"/>
  <c r="AC3074" i="13"/>
  <c r="AC3073" i="13"/>
  <c r="AC3072" i="13"/>
  <c r="AC3071" i="13"/>
  <c r="AC3070" i="13"/>
  <c r="AC3069" i="13"/>
  <c r="AC3068" i="13"/>
  <c r="AC3067" i="13"/>
  <c r="AC3066" i="13"/>
  <c r="AC3065" i="13"/>
  <c r="AC3064" i="13"/>
  <c r="AC3063" i="13"/>
  <c r="AC3062" i="13"/>
  <c r="AC3061" i="13"/>
  <c r="AC3060" i="13"/>
  <c r="AC3059" i="13"/>
  <c r="AC3058" i="13"/>
  <c r="AC3057" i="13"/>
  <c r="AC3056" i="13"/>
  <c r="AC3055" i="13"/>
  <c r="AC3054" i="13"/>
  <c r="AC3053" i="13"/>
  <c r="AC3052" i="13"/>
  <c r="AC3051" i="13"/>
  <c r="AC3050" i="13"/>
  <c r="AC3049" i="13"/>
  <c r="AC3048" i="13"/>
  <c r="AC3047" i="13"/>
  <c r="AC3046" i="13"/>
  <c r="AC3045" i="13"/>
  <c r="AC3044" i="13"/>
  <c r="AC3043" i="13"/>
  <c r="AC3042" i="13"/>
  <c r="AC3041" i="13"/>
  <c r="AC3040" i="13"/>
  <c r="AC3039" i="13"/>
  <c r="AC3038" i="13"/>
  <c r="AC3037" i="13"/>
  <c r="AC3036" i="13"/>
  <c r="AC3035" i="13"/>
  <c r="AC3034" i="13"/>
  <c r="AC3033" i="13"/>
  <c r="AC3032" i="13"/>
  <c r="AC3031" i="13"/>
  <c r="AC3030" i="13"/>
  <c r="AC3029" i="13"/>
  <c r="AC3028" i="13"/>
  <c r="AC3027" i="13"/>
  <c r="AC3026" i="13"/>
  <c r="AC3025" i="13"/>
  <c r="AC3024" i="13"/>
  <c r="AC3023" i="13"/>
  <c r="AC3022" i="13"/>
  <c r="AC3021" i="13"/>
  <c r="AC3020" i="13"/>
  <c r="AC3019" i="13"/>
  <c r="AC3018" i="13"/>
  <c r="AC3017" i="13"/>
  <c r="AC3016" i="13"/>
  <c r="AC3015" i="13"/>
  <c r="AC3014" i="13"/>
  <c r="AC3013" i="13"/>
  <c r="AC3012" i="13"/>
  <c r="AC3011" i="13"/>
  <c r="AC3010" i="13"/>
  <c r="AC3009" i="13"/>
  <c r="AC3008" i="13"/>
  <c r="AC3007" i="13"/>
  <c r="AC3006" i="13"/>
  <c r="AC3005" i="13"/>
  <c r="AC3004" i="13"/>
  <c r="AC3003" i="13"/>
  <c r="AC3002" i="13"/>
  <c r="AC3001" i="13"/>
  <c r="AC3000" i="13"/>
  <c r="AC2999" i="13"/>
  <c r="AC2998" i="13"/>
  <c r="AC2997" i="13"/>
  <c r="AC2996" i="13"/>
  <c r="AC2995" i="13"/>
  <c r="AC2994" i="13"/>
  <c r="AC2993" i="13"/>
  <c r="AC2992" i="13"/>
  <c r="AC2991" i="13"/>
  <c r="AC2990" i="13"/>
  <c r="AC2989" i="13"/>
  <c r="AC2988" i="13"/>
  <c r="AC2987" i="13"/>
  <c r="AC2986" i="13"/>
  <c r="AC2985" i="13"/>
  <c r="AC2984" i="13"/>
  <c r="AC2983" i="13"/>
  <c r="AC2982" i="13"/>
  <c r="AC2981" i="13"/>
  <c r="AC2980" i="13"/>
  <c r="AC2979" i="13"/>
  <c r="AC2978" i="13"/>
  <c r="AC2977" i="13"/>
  <c r="AC2976" i="13"/>
  <c r="AC2975" i="13"/>
  <c r="AC2974" i="13"/>
  <c r="AC2973" i="13"/>
  <c r="AC2972" i="13"/>
  <c r="AC2971" i="13"/>
  <c r="AC2970" i="13"/>
  <c r="AC2969" i="13"/>
  <c r="AC2968" i="13"/>
  <c r="AC2967" i="13"/>
  <c r="AC2966" i="13"/>
  <c r="AC2965" i="13"/>
  <c r="AC2964" i="13"/>
  <c r="AC2963" i="13"/>
  <c r="AC2962" i="13"/>
  <c r="AC2961" i="13"/>
  <c r="AC2960" i="13"/>
  <c r="AC2959" i="13"/>
  <c r="AC2958" i="13"/>
  <c r="AC2957" i="13"/>
  <c r="AC2956" i="13"/>
  <c r="AC2955" i="13"/>
  <c r="AC2954" i="13"/>
  <c r="AC2953" i="13"/>
  <c r="AC2952" i="13"/>
  <c r="AC2951" i="13"/>
  <c r="AC2950" i="13"/>
  <c r="AC2949" i="13"/>
  <c r="AC2948" i="13"/>
  <c r="AC2947" i="13"/>
  <c r="AC2946" i="13"/>
  <c r="AC2945" i="13"/>
  <c r="AC2944" i="13"/>
  <c r="AC2943" i="13"/>
  <c r="AC2942" i="13"/>
  <c r="AC2941" i="13"/>
  <c r="AC2940" i="13"/>
  <c r="AC2939" i="13"/>
  <c r="AC2938" i="13"/>
  <c r="AC2937" i="13"/>
  <c r="AC2936" i="13"/>
  <c r="AC2935" i="13"/>
  <c r="AC2934" i="13"/>
  <c r="AC2933" i="13"/>
  <c r="AC2932" i="13"/>
  <c r="AC2931" i="13"/>
  <c r="AC2930" i="13"/>
  <c r="AC2929" i="13"/>
  <c r="AC2928" i="13"/>
  <c r="AC2927" i="13"/>
  <c r="AC2926" i="13"/>
  <c r="AC2925" i="13"/>
  <c r="AC2924" i="13"/>
  <c r="AC2923" i="13"/>
  <c r="AC2922" i="13"/>
  <c r="AC2921" i="13"/>
  <c r="AC2920" i="13"/>
  <c r="AC2919" i="13"/>
  <c r="AC2918" i="13"/>
  <c r="AC2917" i="13"/>
  <c r="AC2916" i="13"/>
  <c r="AC2915" i="13"/>
  <c r="AC2914" i="13"/>
  <c r="AC2913" i="13"/>
  <c r="AC2912" i="13"/>
  <c r="AC2911" i="13"/>
  <c r="AC2910" i="13"/>
  <c r="AC2909" i="13"/>
  <c r="AC2908" i="13"/>
  <c r="AC2907" i="13"/>
  <c r="AC2906" i="13"/>
  <c r="AC2905" i="13"/>
  <c r="AC2904" i="13"/>
  <c r="AC2903" i="13"/>
  <c r="AC2902" i="13"/>
  <c r="AC2901" i="13"/>
  <c r="AC2900" i="13"/>
  <c r="AC2899" i="13"/>
  <c r="AC2898" i="13"/>
  <c r="AC2897" i="13"/>
  <c r="AC2896" i="13"/>
  <c r="AC2895" i="13"/>
  <c r="AC2894" i="13"/>
  <c r="AC2893" i="13"/>
  <c r="AC2892" i="13"/>
  <c r="AC2891" i="13"/>
  <c r="AC2890" i="13"/>
  <c r="AC2889" i="13"/>
  <c r="AC2888" i="13"/>
  <c r="AC2887" i="13"/>
  <c r="AC2886" i="13"/>
  <c r="AC2885" i="13"/>
  <c r="AC2884" i="13"/>
  <c r="AC2883" i="13"/>
  <c r="AC2882" i="13"/>
  <c r="AC2881" i="13"/>
  <c r="AC2880" i="13"/>
  <c r="AC2879" i="13"/>
  <c r="AC2878" i="13"/>
  <c r="AC2877" i="13"/>
  <c r="AC2876" i="13"/>
  <c r="AC2875" i="13"/>
  <c r="AC2874" i="13"/>
  <c r="AC2873" i="13"/>
  <c r="AC2872" i="13"/>
  <c r="AC2871" i="13"/>
  <c r="AC2870" i="13"/>
  <c r="AC2869" i="13"/>
  <c r="AC2868" i="13"/>
  <c r="AC2867" i="13"/>
  <c r="AC2866" i="13"/>
  <c r="AC2865" i="13"/>
  <c r="AC2864" i="13"/>
  <c r="AC2863" i="13"/>
  <c r="AC2862" i="13"/>
  <c r="AC2861" i="13"/>
  <c r="AC2860" i="13"/>
  <c r="AC2859" i="13"/>
  <c r="AC2858" i="13"/>
  <c r="AC2857" i="13"/>
  <c r="AC2856" i="13"/>
  <c r="AC2855" i="13"/>
  <c r="AC2854" i="13"/>
  <c r="AC2853" i="13"/>
  <c r="AC2852" i="13"/>
  <c r="AC2851" i="13"/>
  <c r="AC2850" i="13"/>
  <c r="AC2849" i="13"/>
  <c r="AC2848" i="13"/>
  <c r="AC2847" i="13"/>
  <c r="AC2846" i="13"/>
  <c r="AC2845" i="13"/>
  <c r="AC2844" i="13"/>
  <c r="AC2843" i="13"/>
  <c r="AC2842" i="13"/>
  <c r="AC2841" i="13"/>
  <c r="AC2840" i="13"/>
  <c r="AC2839" i="13"/>
  <c r="AC2838" i="13"/>
  <c r="AC2837" i="13"/>
  <c r="AC2836" i="13"/>
  <c r="AC2835" i="13"/>
  <c r="AC2834" i="13"/>
  <c r="AC2833" i="13"/>
  <c r="AC2832" i="13"/>
  <c r="AC2831" i="13"/>
  <c r="AC2830" i="13"/>
  <c r="AC2829" i="13"/>
  <c r="AC2828" i="13"/>
  <c r="AC2827" i="13"/>
  <c r="AC2826" i="13"/>
  <c r="AC2825" i="13"/>
  <c r="AC2824" i="13"/>
  <c r="AC2823" i="13"/>
  <c r="AC2822" i="13"/>
  <c r="AC2821" i="13"/>
  <c r="AC2820" i="13"/>
  <c r="AC2819" i="13"/>
  <c r="AC2818" i="13"/>
  <c r="AC2817" i="13"/>
  <c r="AC2816" i="13"/>
  <c r="AC2815" i="13"/>
  <c r="AC2814" i="13"/>
  <c r="AC2813" i="13"/>
  <c r="AC2812" i="13"/>
  <c r="AC2811" i="13"/>
  <c r="AC2810" i="13"/>
  <c r="AC2809" i="13"/>
  <c r="AC2808" i="13"/>
  <c r="AC2807" i="13"/>
  <c r="AC2806" i="13"/>
  <c r="AC2805" i="13"/>
  <c r="AC2804" i="13"/>
  <c r="AC2803" i="13"/>
  <c r="AC2802" i="13"/>
  <c r="AC2801" i="13"/>
  <c r="AC2800" i="13"/>
  <c r="AC2799" i="13"/>
  <c r="AC2798" i="13"/>
  <c r="AC2797" i="13"/>
  <c r="AC2796" i="13"/>
  <c r="AC2795" i="13"/>
  <c r="AC2794" i="13"/>
  <c r="AC2793" i="13"/>
  <c r="AC2792" i="13"/>
  <c r="AC2791" i="13"/>
  <c r="AC2790" i="13"/>
  <c r="AC2789" i="13"/>
  <c r="AC2788" i="13"/>
  <c r="AC2787" i="13"/>
  <c r="AC2786" i="13"/>
  <c r="AC2785" i="13"/>
  <c r="AC2784" i="13"/>
  <c r="AC2783" i="13"/>
  <c r="AC2782" i="13"/>
  <c r="AC2781" i="13"/>
  <c r="AC2780" i="13"/>
  <c r="AC2779" i="13"/>
  <c r="AC2778" i="13"/>
  <c r="AC2777" i="13"/>
  <c r="AC2776" i="13"/>
  <c r="AC2775" i="13"/>
  <c r="AC2774" i="13"/>
  <c r="AC2773" i="13"/>
  <c r="AC2772" i="13"/>
  <c r="AC2771" i="13"/>
  <c r="AC2770" i="13"/>
  <c r="AC2769" i="13"/>
  <c r="AC2768" i="13"/>
  <c r="AC2767" i="13"/>
  <c r="AC2766" i="13"/>
  <c r="AC2765" i="13"/>
  <c r="AC2764" i="13"/>
  <c r="AC2763" i="13"/>
  <c r="AC2762" i="13"/>
  <c r="AC2761" i="13"/>
  <c r="AC2760" i="13"/>
  <c r="AC2759" i="13"/>
  <c r="AC2758" i="13"/>
  <c r="AC2757" i="13"/>
  <c r="AC2756" i="13"/>
  <c r="AC2755" i="13"/>
  <c r="AC2754" i="13"/>
  <c r="AC2753" i="13"/>
  <c r="AC2752" i="13"/>
  <c r="AC2751" i="13"/>
  <c r="AC2750" i="13"/>
  <c r="AC2749" i="13"/>
  <c r="AC2748" i="13"/>
  <c r="AC2747" i="13"/>
  <c r="AC2746" i="13"/>
  <c r="AC2745" i="13"/>
  <c r="AC2744" i="13"/>
  <c r="AC2743" i="13"/>
  <c r="AC2742" i="13"/>
  <c r="AC2741" i="13"/>
  <c r="AC2740" i="13"/>
  <c r="AC2739" i="13"/>
  <c r="AC2738" i="13"/>
  <c r="AC2737" i="13"/>
  <c r="AC2736" i="13"/>
  <c r="AC2735" i="13"/>
  <c r="AC2734" i="13"/>
  <c r="AC2733" i="13"/>
  <c r="AC2732" i="13"/>
  <c r="AC2731" i="13"/>
  <c r="AC2730" i="13"/>
  <c r="AC2729" i="13"/>
  <c r="AC2728" i="13"/>
  <c r="AC2727" i="13"/>
  <c r="AC2726" i="13"/>
  <c r="AC2725" i="13"/>
  <c r="AC2724" i="13"/>
  <c r="AC2723" i="13"/>
  <c r="AC2722" i="13"/>
  <c r="AC2721" i="13"/>
  <c r="AC2720" i="13"/>
  <c r="AC2719" i="13"/>
  <c r="AC2718" i="13"/>
  <c r="AC2717" i="13"/>
  <c r="AC2716" i="13"/>
  <c r="AC2715" i="13"/>
  <c r="AC2714" i="13"/>
  <c r="AC2713" i="13"/>
  <c r="AC2712" i="13"/>
  <c r="AC2711" i="13"/>
  <c r="AC2710" i="13"/>
  <c r="AC2709" i="13"/>
  <c r="AC2708" i="13"/>
  <c r="AC2707" i="13"/>
  <c r="AC2706" i="13"/>
  <c r="AC2705" i="13"/>
  <c r="AC2704" i="13"/>
  <c r="AC2703" i="13"/>
  <c r="AC2702" i="13"/>
  <c r="AC2701" i="13"/>
  <c r="AC2700" i="13"/>
  <c r="AC2699" i="13"/>
  <c r="AC2698" i="13"/>
  <c r="AC2697" i="13"/>
  <c r="AC2696" i="13"/>
  <c r="AC2695" i="13"/>
  <c r="AC2694" i="13"/>
  <c r="AC2693" i="13"/>
  <c r="AC2692" i="13"/>
  <c r="AC2691" i="13"/>
  <c r="AC2690" i="13"/>
  <c r="AC2689" i="13"/>
  <c r="AC2688" i="13"/>
  <c r="AC2687" i="13"/>
  <c r="AC2686" i="13"/>
  <c r="AC2685" i="13"/>
  <c r="AC2684" i="13"/>
  <c r="AC2683" i="13"/>
  <c r="AC2682" i="13"/>
  <c r="AC2681" i="13"/>
  <c r="AC2680" i="13"/>
  <c r="AC2679" i="13"/>
  <c r="AC2678" i="13"/>
  <c r="AC2677" i="13"/>
  <c r="AC2676" i="13"/>
  <c r="AC2675" i="13"/>
  <c r="AC2674" i="13"/>
  <c r="AC2673" i="13"/>
  <c r="AC2672" i="13"/>
  <c r="AC2671" i="13"/>
  <c r="AC2670" i="13"/>
  <c r="AC2669" i="13"/>
  <c r="AC2668" i="13"/>
  <c r="AC2667" i="13"/>
  <c r="AC2666" i="13"/>
  <c r="AC2665" i="13"/>
  <c r="AC2664" i="13"/>
  <c r="AC2663" i="13"/>
  <c r="AC2662" i="13"/>
  <c r="AC2661" i="13"/>
  <c r="AC2660" i="13"/>
  <c r="AC2659" i="13"/>
  <c r="AC2658" i="13"/>
  <c r="AC2657" i="13"/>
  <c r="AC2656" i="13"/>
  <c r="AC2655" i="13"/>
  <c r="AC2654" i="13"/>
  <c r="AC2653" i="13"/>
  <c r="AC2652" i="13"/>
  <c r="AC2651" i="13"/>
  <c r="AC2650" i="13"/>
  <c r="AC2649" i="13"/>
  <c r="AC2648" i="13"/>
  <c r="AC2647" i="13"/>
  <c r="AC2646" i="13"/>
  <c r="AC2645" i="13"/>
  <c r="AC2644" i="13"/>
  <c r="AC2643" i="13"/>
  <c r="AC2642" i="13"/>
  <c r="AC2641" i="13"/>
  <c r="AC2640" i="13"/>
  <c r="AC2639" i="13"/>
  <c r="AC2638" i="13"/>
  <c r="AC2637" i="13"/>
  <c r="AC2636" i="13"/>
  <c r="AC2635" i="13"/>
  <c r="AC2634" i="13"/>
  <c r="AC2633" i="13"/>
  <c r="AC2632" i="13"/>
  <c r="AC2631" i="13"/>
  <c r="AC2630" i="13"/>
  <c r="AC2629" i="13"/>
  <c r="AC2628" i="13"/>
  <c r="AC2627" i="13"/>
  <c r="AC2626" i="13"/>
  <c r="AC2625" i="13"/>
  <c r="AC2624" i="13"/>
  <c r="AC2623" i="13"/>
  <c r="AC2622" i="13"/>
  <c r="AC2621" i="13"/>
  <c r="AC2620" i="13"/>
  <c r="AC2619" i="13"/>
  <c r="AC2618" i="13"/>
  <c r="AC2617" i="13"/>
  <c r="AC2616" i="13"/>
  <c r="AC2615" i="13"/>
  <c r="AC2614" i="13"/>
  <c r="AC2613" i="13"/>
  <c r="AC2612" i="13"/>
  <c r="AC2611" i="13"/>
  <c r="AC2610" i="13"/>
  <c r="AC2609" i="13"/>
  <c r="AC2608" i="13"/>
  <c r="AC2607" i="13"/>
  <c r="AC2606" i="13"/>
  <c r="AC2605" i="13"/>
  <c r="AC2604" i="13"/>
  <c r="AC2603" i="13"/>
  <c r="AC2602" i="13"/>
  <c r="AC2601" i="13"/>
  <c r="AC2600" i="13"/>
  <c r="AC2599" i="13"/>
  <c r="AC2598" i="13"/>
  <c r="AC2597" i="13"/>
  <c r="AC2596" i="13"/>
  <c r="AC2595" i="13"/>
  <c r="AC2594" i="13"/>
  <c r="AC2593" i="13"/>
  <c r="AC2592" i="13"/>
  <c r="AC2591" i="13"/>
  <c r="AC2590" i="13"/>
  <c r="AC2589" i="13"/>
  <c r="AC2588" i="13"/>
  <c r="AC2587" i="13"/>
  <c r="AC2586" i="13"/>
  <c r="AC2585" i="13"/>
  <c r="AC2584" i="13"/>
  <c r="AC2583" i="13"/>
  <c r="AC2582" i="13"/>
  <c r="AC2581" i="13"/>
  <c r="AC2580" i="13"/>
  <c r="AC2579" i="13"/>
  <c r="AC2578" i="13"/>
  <c r="AC2577" i="13"/>
  <c r="AC2576" i="13"/>
  <c r="AC2575" i="13"/>
  <c r="AC2574" i="13"/>
  <c r="AC2573" i="13"/>
  <c r="AC2572" i="13"/>
  <c r="AC2571" i="13"/>
  <c r="AC2570" i="13"/>
  <c r="AC2569" i="13"/>
  <c r="AC2568" i="13"/>
  <c r="AC2567" i="13"/>
  <c r="AC2566" i="13"/>
  <c r="AC2565" i="13"/>
  <c r="AC2564" i="13"/>
  <c r="AC2563" i="13"/>
  <c r="AC2562" i="13"/>
  <c r="AC2561" i="13"/>
  <c r="AC2560" i="13"/>
  <c r="AC2559" i="13"/>
  <c r="AC2558" i="13"/>
  <c r="AC2557" i="13"/>
  <c r="AC2556" i="13"/>
  <c r="AC2555" i="13"/>
  <c r="AC2554" i="13"/>
  <c r="AC2553" i="13"/>
  <c r="AC2552" i="13"/>
  <c r="AC2551" i="13"/>
  <c r="AC2550" i="13"/>
  <c r="AC2549" i="13"/>
  <c r="AC2548" i="13"/>
  <c r="AC2547" i="13"/>
  <c r="AC2546" i="13"/>
  <c r="AC2545" i="13"/>
  <c r="AC2544" i="13"/>
  <c r="AC2543" i="13"/>
  <c r="AC2542" i="13"/>
  <c r="AC2541" i="13"/>
  <c r="AC2540" i="13"/>
  <c r="AC2539" i="13"/>
  <c r="AC2538" i="13"/>
  <c r="AC2537" i="13"/>
  <c r="AC2536" i="13"/>
  <c r="AC2535" i="13"/>
  <c r="AC2534" i="13"/>
  <c r="AC2533" i="13"/>
  <c r="AC2532" i="13"/>
  <c r="AC2531" i="13"/>
  <c r="AC2530" i="13"/>
  <c r="AC2529" i="13"/>
  <c r="AC2528" i="13"/>
  <c r="AC2527" i="13"/>
  <c r="AC2526" i="13"/>
  <c r="AC2525" i="13"/>
  <c r="AC2524" i="13"/>
  <c r="AC2523" i="13"/>
  <c r="AC2522" i="13"/>
  <c r="AC2521" i="13"/>
  <c r="AC2520" i="13"/>
  <c r="AC2519" i="13"/>
  <c r="AC2518" i="13"/>
  <c r="AC2517" i="13"/>
  <c r="AC2516" i="13"/>
  <c r="AC2515" i="13"/>
  <c r="AC2514" i="13"/>
  <c r="AC2513" i="13"/>
  <c r="AC2512" i="13"/>
  <c r="AC2511" i="13"/>
  <c r="AC2510" i="13"/>
  <c r="AC2509" i="13"/>
  <c r="AC2508" i="13"/>
  <c r="AC2507" i="13"/>
  <c r="AC2506" i="13"/>
  <c r="AC2505" i="13"/>
  <c r="AC2504" i="13"/>
  <c r="AC2503" i="13"/>
  <c r="AC2502" i="13"/>
  <c r="AC2501" i="13"/>
  <c r="AC2500" i="13"/>
  <c r="AC2499" i="13"/>
  <c r="AC2498" i="13"/>
  <c r="AC2497" i="13"/>
  <c r="AC2496" i="13"/>
  <c r="AC2495" i="13"/>
  <c r="AC2494" i="13"/>
  <c r="AC2493" i="13"/>
  <c r="AC2492" i="13"/>
  <c r="AC2491" i="13"/>
  <c r="AC2490" i="13"/>
  <c r="AC2489" i="13"/>
  <c r="AC2488" i="13"/>
  <c r="AC2487" i="13"/>
  <c r="AC2486" i="13"/>
  <c r="AC2485" i="13"/>
  <c r="AC2484" i="13"/>
  <c r="AC2483" i="13"/>
  <c r="AC2482" i="13"/>
  <c r="AC2481" i="13"/>
  <c r="AC2480" i="13"/>
  <c r="AC2479" i="13"/>
  <c r="AC2478" i="13"/>
  <c r="AC2477" i="13"/>
  <c r="AC2476" i="13"/>
  <c r="AC2475" i="13"/>
  <c r="AC2474" i="13"/>
  <c r="AC2473" i="13"/>
  <c r="AC2472" i="13"/>
  <c r="AC2471" i="13"/>
  <c r="AC2470" i="13"/>
  <c r="AC2469" i="13"/>
  <c r="AC2468" i="13"/>
  <c r="AC2467" i="13"/>
  <c r="AC2466" i="13"/>
  <c r="AC2465" i="13"/>
  <c r="AC2464" i="13"/>
  <c r="AC2463" i="13"/>
  <c r="AC2462" i="13"/>
  <c r="AC2461" i="13"/>
  <c r="AC2460" i="13"/>
  <c r="AC2459" i="13"/>
  <c r="AC2458" i="13"/>
  <c r="AC2457" i="13"/>
  <c r="AC2456" i="13"/>
  <c r="AC2455" i="13"/>
  <c r="AC2454" i="13"/>
  <c r="AC2453" i="13"/>
  <c r="AC2452" i="13"/>
  <c r="AC2451" i="13"/>
  <c r="AC2450" i="13"/>
  <c r="AC2449" i="13"/>
  <c r="AC2448" i="13"/>
  <c r="AC2447" i="13"/>
  <c r="AC2446" i="13"/>
  <c r="AC2445" i="13"/>
  <c r="AC2444" i="13"/>
  <c r="AC2443" i="13"/>
  <c r="AC2442" i="13"/>
  <c r="AC2441" i="13"/>
  <c r="AC2440" i="13"/>
  <c r="AC2439" i="13"/>
  <c r="AC2438" i="13"/>
  <c r="AC2437" i="13"/>
  <c r="AC2436" i="13"/>
  <c r="AC2435" i="13"/>
  <c r="AC2434" i="13"/>
  <c r="AC2433" i="13"/>
  <c r="AC2432" i="13"/>
  <c r="AC2431" i="13"/>
  <c r="AC2430" i="13"/>
  <c r="AC2429" i="13"/>
  <c r="AC2428" i="13"/>
  <c r="AC2427" i="13"/>
  <c r="AC2426" i="13"/>
  <c r="AC2425" i="13"/>
  <c r="AC2424" i="13"/>
  <c r="AC2423" i="13"/>
  <c r="AC2422" i="13"/>
  <c r="AC2421" i="13"/>
  <c r="AC2420" i="13"/>
  <c r="AC2419" i="13"/>
  <c r="AC2418" i="13"/>
  <c r="AC2417" i="13"/>
  <c r="AC2416" i="13"/>
  <c r="AC2415" i="13"/>
  <c r="AC2414" i="13"/>
  <c r="AC2413" i="13"/>
  <c r="AC2412" i="13"/>
  <c r="AC2411" i="13"/>
  <c r="AC2410" i="13"/>
  <c r="AC2409" i="13"/>
  <c r="AC2408" i="13"/>
  <c r="AC2407" i="13"/>
  <c r="AC2406" i="13"/>
  <c r="AC2405" i="13"/>
  <c r="AC2404" i="13"/>
  <c r="AC2403" i="13"/>
  <c r="AC2402" i="13"/>
  <c r="AC2401" i="13"/>
  <c r="AC2400" i="13"/>
  <c r="AC2399" i="13"/>
  <c r="AC2398" i="13"/>
  <c r="AC2397" i="13"/>
  <c r="AC2396" i="13"/>
  <c r="AC2395" i="13"/>
  <c r="AC2394" i="13"/>
  <c r="AC2393" i="13"/>
  <c r="AC2392" i="13"/>
  <c r="AC2391" i="13"/>
  <c r="AC2390" i="13"/>
  <c r="AC2389" i="13"/>
  <c r="AC2388" i="13"/>
  <c r="AC2387" i="13"/>
  <c r="AC2386" i="13"/>
  <c r="AC2385" i="13"/>
  <c r="AC2384" i="13"/>
  <c r="AC2383" i="13"/>
  <c r="AC2382" i="13"/>
  <c r="AC2381" i="13"/>
  <c r="AC2380" i="13"/>
  <c r="AC2379" i="13"/>
  <c r="AC2378" i="13"/>
  <c r="AC2377" i="13"/>
  <c r="AC2376" i="13"/>
  <c r="AC2375" i="13"/>
  <c r="AC2374" i="13"/>
  <c r="AC2373" i="13"/>
  <c r="AC2372" i="13"/>
  <c r="AC2371" i="13"/>
  <c r="AC2370" i="13"/>
  <c r="AC2369" i="13"/>
  <c r="AC2368" i="13"/>
  <c r="AC2367" i="13"/>
  <c r="AC2366" i="13"/>
  <c r="AC2365" i="13"/>
  <c r="AC2364" i="13"/>
  <c r="AC2363" i="13"/>
  <c r="AC2362" i="13"/>
  <c r="AC2361" i="13"/>
  <c r="AC2360" i="13"/>
  <c r="AC2359" i="13"/>
  <c r="AC2358" i="13"/>
  <c r="AC2357" i="13"/>
  <c r="AC2356" i="13"/>
  <c r="AC2355" i="13"/>
  <c r="AC2354" i="13"/>
  <c r="AC2353" i="13"/>
  <c r="AC2352" i="13"/>
  <c r="AC2351" i="13"/>
  <c r="AC2350" i="13"/>
  <c r="AC2349" i="13"/>
  <c r="AC2348" i="13"/>
  <c r="AC2347" i="13"/>
  <c r="AC2346" i="13"/>
  <c r="AC2345" i="13"/>
  <c r="AC2344" i="13"/>
  <c r="AC2343" i="13"/>
  <c r="AC2342" i="13"/>
  <c r="AC2341" i="13"/>
  <c r="AC2340" i="13"/>
  <c r="AC2339" i="13"/>
  <c r="AC2338" i="13"/>
  <c r="AC2337" i="13"/>
  <c r="AC2336" i="13"/>
  <c r="AC2335" i="13"/>
  <c r="AC2334" i="13"/>
  <c r="AC2333" i="13"/>
  <c r="AC2332" i="13"/>
  <c r="AC2331" i="13"/>
  <c r="AC2330" i="13"/>
  <c r="AC2329" i="13"/>
  <c r="AC2328" i="13"/>
  <c r="AC2327" i="13"/>
  <c r="AC2326" i="13"/>
  <c r="AC2325" i="13"/>
  <c r="AC2324" i="13"/>
  <c r="AC2323" i="13"/>
  <c r="AC2322" i="13"/>
  <c r="AC2321" i="13"/>
  <c r="AC2320" i="13"/>
  <c r="AC2319" i="13"/>
  <c r="AC2318" i="13"/>
  <c r="AC2317" i="13"/>
  <c r="AC2316" i="13"/>
  <c r="AC2315" i="13"/>
  <c r="AC2314" i="13"/>
  <c r="AC2313" i="13"/>
  <c r="AC2312" i="13"/>
  <c r="AC2311" i="13"/>
  <c r="AC2310" i="13"/>
  <c r="AC2309" i="13"/>
  <c r="AC2308" i="13"/>
  <c r="AC2307" i="13"/>
  <c r="AC2306" i="13"/>
  <c r="AC2305" i="13"/>
  <c r="AC2304" i="13"/>
  <c r="AC2303" i="13"/>
  <c r="AC2302" i="13"/>
  <c r="AC2301" i="13"/>
  <c r="AC2300" i="13"/>
  <c r="AC2299" i="13"/>
  <c r="AC2298" i="13"/>
  <c r="AC2297" i="13"/>
  <c r="AC2296" i="13"/>
  <c r="AC2295" i="13"/>
  <c r="AC2294" i="13"/>
  <c r="AC2293" i="13"/>
  <c r="AC2292" i="13"/>
  <c r="AC2291" i="13"/>
  <c r="AC2290" i="13"/>
  <c r="AC2289" i="13"/>
  <c r="AC2288" i="13"/>
  <c r="AC2287" i="13"/>
  <c r="AC2286" i="13"/>
  <c r="AC2285" i="13"/>
  <c r="AC2284" i="13"/>
  <c r="AC2283" i="13"/>
  <c r="AC2282" i="13"/>
  <c r="AC2281" i="13"/>
  <c r="AC2280" i="13"/>
  <c r="AC2279" i="13"/>
  <c r="AC2278" i="13"/>
  <c r="AC2277" i="13"/>
  <c r="AC2276" i="13"/>
  <c r="AC2275" i="13"/>
  <c r="AC2274" i="13"/>
  <c r="AC2273" i="13"/>
  <c r="AC2272" i="13"/>
  <c r="AC2271" i="13"/>
  <c r="AC2270" i="13"/>
  <c r="AC2269" i="13"/>
  <c r="AC2268" i="13"/>
  <c r="AC2267" i="13"/>
  <c r="AC2266" i="13"/>
  <c r="AC2265" i="13"/>
  <c r="AC2264" i="13"/>
  <c r="AC2263" i="13"/>
  <c r="AC2262" i="13"/>
  <c r="AC2261" i="13"/>
  <c r="AC2260" i="13"/>
  <c r="AC2259" i="13"/>
  <c r="AC2258" i="13"/>
  <c r="AC2257" i="13"/>
  <c r="AC2256" i="13"/>
  <c r="AC2255" i="13"/>
  <c r="AC2254" i="13"/>
  <c r="AC2253" i="13"/>
  <c r="AC2252" i="13"/>
  <c r="AC2251" i="13"/>
  <c r="AC2250" i="13"/>
  <c r="AC2249" i="13"/>
  <c r="AC2248" i="13"/>
  <c r="AC2247" i="13"/>
  <c r="AC2246" i="13"/>
  <c r="AC2245" i="13"/>
  <c r="AC2244" i="13"/>
  <c r="AC2243" i="13"/>
  <c r="AC2242" i="13"/>
  <c r="AC2241" i="13"/>
  <c r="AC2240" i="13"/>
  <c r="AC2239" i="13"/>
  <c r="AC2238" i="13"/>
  <c r="AC2237" i="13"/>
  <c r="AC2236" i="13"/>
  <c r="AC2235" i="13"/>
  <c r="AC2234" i="13"/>
  <c r="AC2233" i="13"/>
  <c r="AC2232" i="13"/>
  <c r="AC2231" i="13"/>
  <c r="AC2230" i="13"/>
  <c r="AC2229" i="13"/>
  <c r="AC2228" i="13"/>
  <c r="AC2227" i="13"/>
  <c r="AC2226" i="13"/>
  <c r="AC2225" i="13"/>
  <c r="AC2224" i="13"/>
  <c r="AC2223" i="13"/>
  <c r="AC2222" i="13"/>
  <c r="AC2221" i="13"/>
  <c r="AC2220" i="13"/>
  <c r="AC2219" i="13"/>
  <c r="AC2218" i="13"/>
  <c r="AC2217" i="13"/>
  <c r="AC2216" i="13"/>
  <c r="AC2215" i="13"/>
  <c r="AC2214" i="13"/>
  <c r="AC2213" i="13"/>
  <c r="AC2212" i="13"/>
  <c r="AC2211" i="13"/>
  <c r="AC2210" i="13"/>
  <c r="AC2209" i="13"/>
  <c r="AC2208" i="13"/>
  <c r="AC2207" i="13"/>
  <c r="AC2206" i="13"/>
  <c r="AC2205" i="13"/>
  <c r="AC2204" i="13"/>
  <c r="AC2203" i="13"/>
  <c r="AC2202" i="13"/>
  <c r="AC2201" i="13"/>
  <c r="AC2200" i="13"/>
  <c r="AC2199" i="13"/>
  <c r="AC2198" i="13"/>
  <c r="AC2197" i="13"/>
  <c r="AC2196" i="13"/>
  <c r="AC2195" i="13"/>
  <c r="AC2194" i="13"/>
  <c r="AC2193" i="13"/>
  <c r="AC2192" i="13"/>
  <c r="AC2191" i="13"/>
  <c r="AC2190" i="13"/>
  <c r="AC2189" i="13"/>
  <c r="AC2188" i="13"/>
  <c r="AC2187" i="13"/>
  <c r="AC2186" i="13"/>
  <c r="AC2185" i="13"/>
  <c r="AC2184" i="13"/>
  <c r="AC2183" i="13"/>
  <c r="AC2182" i="13"/>
  <c r="AC2181" i="13"/>
  <c r="AC2180" i="13"/>
  <c r="AC2179" i="13"/>
  <c r="AC2178" i="13"/>
  <c r="AC2177" i="13"/>
  <c r="AC2176" i="13"/>
  <c r="AC2175" i="13"/>
  <c r="AC2174" i="13"/>
  <c r="AC2173" i="13"/>
  <c r="AC2172" i="13"/>
  <c r="AC2171" i="13"/>
  <c r="AC2170" i="13"/>
  <c r="AC2169" i="13"/>
  <c r="AC2168" i="13"/>
  <c r="AC2167" i="13"/>
  <c r="AC2166" i="13"/>
  <c r="AC2165" i="13"/>
  <c r="AC2164" i="13"/>
  <c r="AC2163" i="13"/>
  <c r="AC2162" i="13"/>
  <c r="AC2161" i="13"/>
  <c r="AC2160" i="13"/>
  <c r="AC2159" i="13"/>
  <c r="AC2158" i="13"/>
  <c r="AC2157" i="13"/>
  <c r="AC2156" i="13"/>
  <c r="AC2155" i="13"/>
  <c r="AC2154" i="13"/>
  <c r="AC2153" i="13"/>
  <c r="AC2152" i="13"/>
  <c r="AC2151" i="13"/>
  <c r="AC2150" i="13"/>
  <c r="AC2149" i="13"/>
  <c r="AC2148" i="13"/>
  <c r="AC2147" i="13"/>
  <c r="AC2146" i="13"/>
  <c r="AC2145" i="13"/>
  <c r="AC2144" i="13"/>
  <c r="AC2143" i="13"/>
  <c r="AC2142" i="13"/>
  <c r="AC2141" i="13"/>
  <c r="AC2140" i="13"/>
  <c r="AC2139" i="13"/>
  <c r="AC2138" i="13"/>
  <c r="AC2137" i="13"/>
  <c r="AC2136" i="13"/>
  <c r="AC2135" i="13"/>
  <c r="AC2134" i="13"/>
  <c r="AC2133" i="13"/>
  <c r="AC2132" i="13"/>
  <c r="AC2131" i="13"/>
  <c r="AC2130" i="13"/>
  <c r="AC2129" i="13"/>
  <c r="AC2128" i="13"/>
  <c r="AC2127" i="13"/>
  <c r="AC2126" i="13"/>
  <c r="AC2125" i="13"/>
  <c r="AC2124" i="13"/>
  <c r="AC2123" i="13"/>
  <c r="AC2122" i="13"/>
  <c r="AC2121" i="13"/>
  <c r="AC2120" i="13"/>
  <c r="AC2119" i="13"/>
  <c r="AC2118" i="13"/>
  <c r="AC2117" i="13"/>
  <c r="AC2116" i="13"/>
  <c r="AC2115" i="13"/>
  <c r="AC2114" i="13"/>
  <c r="AC2113" i="13"/>
  <c r="AC2112" i="13"/>
  <c r="AC2111" i="13"/>
  <c r="AC2110" i="13"/>
  <c r="AC2109" i="13"/>
  <c r="AC2108" i="13"/>
  <c r="AC2107" i="13"/>
  <c r="AC2106" i="13"/>
  <c r="AC2105" i="13"/>
  <c r="AC2104" i="13"/>
  <c r="AC2103" i="13"/>
  <c r="AC2102" i="13"/>
  <c r="AC2101" i="13"/>
  <c r="AC2100" i="13"/>
  <c r="AC2099" i="13"/>
  <c r="AC2098" i="13"/>
  <c r="AC2097" i="13"/>
  <c r="AC2096" i="13"/>
  <c r="AC2095" i="13"/>
  <c r="AC2094" i="13"/>
  <c r="AC2093" i="13"/>
  <c r="AC2092" i="13"/>
  <c r="AC2091" i="13"/>
  <c r="AC2090" i="13"/>
  <c r="AC2089" i="13"/>
  <c r="AC2088" i="13"/>
  <c r="AC2087" i="13"/>
  <c r="AC2086" i="13"/>
  <c r="AC2085" i="13"/>
  <c r="AC2084" i="13"/>
  <c r="AC2083" i="13"/>
  <c r="AC2082" i="13"/>
  <c r="AC2081" i="13"/>
  <c r="AC2080" i="13"/>
  <c r="AC2079" i="13"/>
  <c r="AC2078" i="13"/>
  <c r="AC2077" i="13"/>
  <c r="AC2076" i="13"/>
  <c r="AC2075" i="13"/>
  <c r="AC2074" i="13"/>
  <c r="AC2073" i="13"/>
  <c r="AC2072" i="13"/>
  <c r="AC2071" i="13"/>
  <c r="AC2070" i="13"/>
  <c r="AC2069" i="13"/>
  <c r="AC2068" i="13"/>
  <c r="AC2067" i="13"/>
  <c r="AC2066" i="13"/>
  <c r="AC2065" i="13"/>
  <c r="AC2064" i="13"/>
  <c r="AC2063" i="13"/>
  <c r="AC2062" i="13"/>
  <c r="AC2061" i="13"/>
  <c r="AC2060" i="13"/>
  <c r="AC2059" i="13"/>
  <c r="AC2058" i="13"/>
  <c r="AC2057" i="13"/>
  <c r="AC2056" i="13"/>
  <c r="AC2055" i="13"/>
  <c r="AC2054" i="13"/>
  <c r="AC2053" i="13"/>
  <c r="AC2052" i="13"/>
  <c r="AC2051" i="13"/>
  <c r="AC2050" i="13"/>
  <c r="AC2049" i="13"/>
  <c r="AC2048" i="13"/>
  <c r="AC2047" i="13"/>
  <c r="AC2046" i="13"/>
  <c r="AC2045" i="13"/>
  <c r="AC2044" i="13"/>
  <c r="AC2043" i="13"/>
  <c r="AC2042" i="13"/>
  <c r="AC2041" i="13"/>
  <c r="AC2040" i="13"/>
  <c r="AC2039" i="13"/>
  <c r="AC2038" i="13"/>
  <c r="AC2037" i="13"/>
  <c r="AC2036" i="13"/>
  <c r="AC2035" i="13"/>
  <c r="AC2034" i="13"/>
  <c r="AC2033" i="13"/>
  <c r="AC2032" i="13"/>
  <c r="AC2031" i="13"/>
  <c r="AC2030" i="13"/>
  <c r="AC2029" i="13"/>
  <c r="AC2028" i="13"/>
  <c r="AC2027" i="13"/>
  <c r="AC2026" i="13"/>
  <c r="AC2025" i="13"/>
  <c r="AC2024" i="13"/>
  <c r="AC2023" i="13"/>
  <c r="AC2022" i="13"/>
  <c r="AC2021" i="13"/>
  <c r="AC2020" i="13"/>
  <c r="AC2019" i="13"/>
  <c r="AC2018" i="13"/>
  <c r="AC2017" i="13"/>
  <c r="AC2016" i="13"/>
  <c r="AC2015" i="13"/>
  <c r="AC2014" i="13"/>
  <c r="AC2013" i="13"/>
  <c r="AC2012" i="13"/>
  <c r="AC2011" i="13"/>
  <c r="AC2010" i="13"/>
  <c r="AC2009" i="13"/>
  <c r="AC2008" i="13"/>
  <c r="AC2007" i="13"/>
  <c r="AC2006" i="13"/>
  <c r="AC2005" i="13"/>
  <c r="AC2004" i="13"/>
  <c r="AC2003" i="13"/>
  <c r="AC2002" i="13"/>
  <c r="AC2001" i="13"/>
  <c r="AC2000" i="13"/>
  <c r="AC1999" i="13"/>
  <c r="AC1998" i="13"/>
  <c r="AC1997" i="13"/>
  <c r="AC1996" i="13"/>
  <c r="AC1995" i="13"/>
  <c r="AC1994" i="13"/>
  <c r="AC1993" i="13"/>
  <c r="AC1992" i="13"/>
  <c r="AC1991" i="13"/>
  <c r="AC1990" i="13"/>
  <c r="AC1989" i="13"/>
  <c r="AC1988" i="13"/>
  <c r="AC1987" i="13"/>
  <c r="AC1986" i="13"/>
  <c r="AC1985" i="13"/>
  <c r="AC1984" i="13"/>
  <c r="AC1983" i="13"/>
  <c r="AC1982" i="13"/>
  <c r="AC1981" i="13"/>
  <c r="AC1980" i="13"/>
  <c r="AC1979" i="13"/>
  <c r="AC1978" i="13"/>
  <c r="AC1977" i="13"/>
  <c r="AC1976" i="13"/>
  <c r="AC1975" i="13"/>
  <c r="AC1974" i="13"/>
  <c r="AC1973" i="13"/>
  <c r="AC1972" i="13"/>
  <c r="AC1971" i="13"/>
  <c r="AC1970" i="13"/>
  <c r="AC1969" i="13"/>
  <c r="AC1968" i="13"/>
  <c r="AC1967" i="13"/>
  <c r="AC1966" i="13"/>
  <c r="AC1965" i="13"/>
  <c r="AC1964" i="13"/>
  <c r="AC1963" i="13"/>
  <c r="AC1962" i="13"/>
  <c r="AC1961" i="13"/>
  <c r="AC1960" i="13"/>
  <c r="AC1959" i="13"/>
  <c r="AC1958" i="13"/>
  <c r="AC1957" i="13"/>
  <c r="AC1956" i="13"/>
  <c r="AC1955" i="13"/>
  <c r="AC1954" i="13"/>
  <c r="AC1953" i="13"/>
  <c r="AC1952" i="13"/>
  <c r="AC1951" i="13"/>
  <c r="AC1950" i="13"/>
  <c r="AC1949" i="13"/>
  <c r="AC1948" i="13"/>
  <c r="AC1947" i="13"/>
  <c r="AC1946" i="13"/>
  <c r="AC1945" i="13"/>
  <c r="AC1944" i="13"/>
  <c r="AC1943" i="13"/>
  <c r="AC1942" i="13"/>
  <c r="AC1941" i="13"/>
  <c r="AC1940" i="13"/>
  <c r="AC1939" i="13"/>
  <c r="AC1938" i="13"/>
  <c r="AC1937" i="13"/>
  <c r="AC1936" i="13"/>
  <c r="AC1935" i="13"/>
  <c r="AC1934" i="13"/>
  <c r="AC1933" i="13"/>
  <c r="AC1932" i="13"/>
  <c r="AC1931" i="13"/>
  <c r="AC1930" i="13"/>
  <c r="AC1929" i="13"/>
  <c r="AC1928" i="13"/>
  <c r="AC1927" i="13"/>
  <c r="AC1926" i="13"/>
  <c r="AC1925" i="13"/>
  <c r="AC1924" i="13"/>
  <c r="AC1923" i="13"/>
  <c r="AC1922" i="13"/>
  <c r="AC1921" i="13"/>
  <c r="AC1920" i="13"/>
  <c r="AC1919" i="13"/>
  <c r="AC1918" i="13"/>
  <c r="AC1917" i="13"/>
  <c r="AC1916" i="13"/>
  <c r="AC1915" i="13"/>
  <c r="AC1914" i="13"/>
  <c r="AC1913" i="13"/>
  <c r="AC1912" i="13"/>
  <c r="AC1911" i="13"/>
  <c r="AC1910" i="13"/>
  <c r="AC1909" i="13"/>
  <c r="AC1908" i="13"/>
  <c r="AC1907" i="13"/>
  <c r="AC1906" i="13"/>
  <c r="AC1905" i="13"/>
  <c r="AC1904" i="13"/>
  <c r="AC1903" i="13"/>
  <c r="AC1902" i="13"/>
  <c r="AC1901" i="13"/>
  <c r="AC1900" i="13"/>
  <c r="AC1899" i="13"/>
  <c r="AC1898" i="13"/>
  <c r="AC1897" i="13"/>
  <c r="AC1896" i="13"/>
  <c r="AC1895" i="13"/>
  <c r="AC1894" i="13"/>
  <c r="AC1893" i="13"/>
  <c r="AC1892" i="13"/>
  <c r="AC1891" i="13"/>
  <c r="AC1890" i="13"/>
  <c r="AC1889" i="13"/>
  <c r="AC1888" i="13"/>
  <c r="AC1887" i="13"/>
  <c r="AC1886" i="13"/>
  <c r="AC1885" i="13"/>
  <c r="AC1884" i="13"/>
  <c r="AC1883" i="13"/>
  <c r="AC1882" i="13"/>
  <c r="AC1881" i="13"/>
  <c r="AC1880" i="13"/>
  <c r="AC1879" i="13"/>
  <c r="AC1878" i="13"/>
  <c r="AC1877" i="13"/>
  <c r="AC1876" i="13"/>
  <c r="AC1875" i="13"/>
  <c r="AC1874" i="13"/>
  <c r="AC1873" i="13"/>
  <c r="AC1872" i="13"/>
  <c r="AC1871" i="13"/>
  <c r="AC1870" i="13"/>
  <c r="AC1869" i="13"/>
  <c r="AC1868" i="13"/>
  <c r="AC1867" i="13"/>
  <c r="AC1866" i="13"/>
  <c r="AC1865" i="13"/>
  <c r="AC1864" i="13"/>
  <c r="AC1863" i="13"/>
  <c r="AC1862" i="13"/>
  <c r="AC1861" i="13"/>
  <c r="AC1860" i="13"/>
  <c r="AC1859" i="13"/>
  <c r="AC1858" i="13"/>
  <c r="AC1857" i="13"/>
  <c r="AC1856" i="13"/>
  <c r="AC1855" i="13"/>
  <c r="AC1854" i="13"/>
  <c r="AC1853" i="13"/>
  <c r="AC1852" i="13"/>
  <c r="AC1851" i="13"/>
  <c r="AC1850" i="13"/>
  <c r="AC1849" i="13"/>
  <c r="AC1848" i="13"/>
  <c r="AC1847" i="13"/>
  <c r="AC1846" i="13"/>
  <c r="AC1845" i="13"/>
  <c r="AC1844" i="13"/>
  <c r="AC1843" i="13"/>
  <c r="AC1842" i="13"/>
  <c r="AC1841" i="13"/>
  <c r="AC1840" i="13"/>
  <c r="AC1839" i="13"/>
  <c r="AC1838" i="13"/>
  <c r="AC1837" i="13"/>
  <c r="AC1836" i="13"/>
  <c r="AC1835" i="13"/>
  <c r="AC1834" i="13"/>
  <c r="AC1833" i="13"/>
  <c r="AC1832" i="13"/>
  <c r="AC1831" i="13"/>
  <c r="AC1830" i="13"/>
  <c r="AC1829" i="13"/>
  <c r="AC1828" i="13"/>
  <c r="AC1827" i="13"/>
  <c r="AC1826" i="13"/>
  <c r="AC1825" i="13"/>
  <c r="AC1824" i="13"/>
  <c r="AC1823" i="13"/>
  <c r="AC1822" i="13"/>
  <c r="AC1821" i="13"/>
  <c r="AC1820" i="13"/>
  <c r="AC1819" i="13"/>
  <c r="AC1818" i="13"/>
  <c r="AC1817" i="13"/>
  <c r="AC1816" i="13"/>
  <c r="AC1815" i="13"/>
  <c r="AC1814" i="13"/>
  <c r="AC1813" i="13"/>
  <c r="AC1812" i="13"/>
  <c r="AC1811" i="13"/>
  <c r="AC1810" i="13"/>
  <c r="AC1809" i="13"/>
  <c r="AC1808" i="13"/>
  <c r="AC1807" i="13"/>
  <c r="AC1806" i="13"/>
  <c r="AC1805" i="13"/>
  <c r="AC1804" i="13"/>
  <c r="AC1803" i="13"/>
  <c r="AC1802" i="13"/>
  <c r="AC1801" i="13"/>
  <c r="AC1800" i="13"/>
  <c r="AC1799" i="13"/>
  <c r="AC1798" i="13"/>
  <c r="AC1797" i="13"/>
  <c r="AC1796" i="13"/>
  <c r="AC1795" i="13"/>
  <c r="AC1794" i="13"/>
  <c r="AC1793" i="13"/>
  <c r="AC1792" i="13"/>
  <c r="AC1791" i="13"/>
  <c r="AC1790" i="13"/>
  <c r="AC1789" i="13"/>
  <c r="AC1788" i="13"/>
  <c r="AC1787" i="13"/>
  <c r="AC1786" i="13"/>
  <c r="AC1785" i="13"/>
  <c r="AC1784" i="13"/>
  <c r="AC1783" i="13"/>
  <c r="AC1782" i="13"/>
  <c r="AC1781" i="13"/>
  <c r="AC1780" i="13"/>
  <c r="AC1779" i="13"/>
  <c r="AC1778" i="13"/>
  <c r="AC1777" i="13"/>
  <c r="AC1776" i="13"/>
  <c r="AC1775" i="13"/>
  <c r="AC1774" i="13"/>
  <c r="AC1773" i="13"/>
  <c r="AC1772" i="13"/>
  <c r="AC1771" i="13"/>
  <c r="AC1770" i="13"/>
  <c r="AC1769" i="13"/>
  <c r="AC1768" i="13"/>
  <c r="AC1767" i="13"/>
  <c r="AC1766" i="13"/>
  <c r="AC1765" i="13"/>
  <c r="AC1764" i="13"/>
  <c r="AC1763" i="13"/>
  <c r="AC1762" i="13"/>
  <c r="AC1761" i="13"/>
  <c r="AC1760" i="13"/>
  <c r="AC1759" i="13"/>
  <c r="AC1758" i="13"/>
  <c r="AC1757" i="13"/>
  <c r="AC1756" i="13"/>
  <c r="AC1755" i="13"/>
  <c r="AC1754" i="13"/>
  <c r="AC1753" i="13"/>
  <c r="AC1752" i="13"/>
  <c r="AC1751" i="13"/>
  <c r="AC1750" i="13"/>
  <c r="AC1749" i="13"/>
  <c r="AC1748" i="13"/>
  <c r="AC1747" i="13"/>
  <c r="AC1746" i="13"/>
  <c r="AC1745" i="13"/>
  <c r="AC1744" i="13"/>
  <c r="AC1743" i="13"/>
  <c r="AC1742" i="13"/>
  <c r="AC1741" i="13"/>
  <c r="AC1740" i="13"/>
  <c r="AC1739" i="13"/>
  <c r="AC1738" i="13"/>
  <c r="AC1737" i="13"/>
  <c r="AC1736" i="13"/>
  <c r="AC1735" i="13"/>
  <c r="AC1734" i="13"/>
  <c r="AC1733" i="13"/>
  <c r="AC1732" i="13"/>
  <c r="AC1731" i="13"/>
  <c r="AC1730" i="13"/>
  <c r="AC1729" i="13"/>
  <c r="AC1728" i="13"/>
  <c r="AC1727" i="13"/>
  <c r="AC1726" i="13"/>
  <c r="AC1725" i="13"/>
  <c r="AC1724" i="13"/>
  <c r="AC1723" i="13"/>
  <c r="AC1722" i="13"/>
  <c r="AC1721" i="13"/>
  <c r="AC1720" i="13"/>
  <c r="AC1719" i="13"/>
  <c r="AC1718" i="13"/>
  <c r="AC1717" i="13"/>
  <c r="AC1716" i="13"/>
  <c r="AC1715" i="13"/>
  <c r="AC1714" i="13"/>
  <c r="AC1713" i="13"/>
  <c r="AC1712" i="13"/>
  <c r="AC1711" i="13"/>
  <c r="AC1710" i="13"/>
  <c r="AC1709" i="13"/>
  <c r="AC1708" i="13"/>
  <c r="AC1707" i="13"/>
  <c r="AC1706" i="13"/>
  <c r="AC1705" i="13"/>
  <c r="AC1704" i="13"/>
  <c r="AC1703" i="13"/>
  <c r="AC1702" i="13"/>
  <c r="AC1701" i="13"/>
  <c r="AC1700" i="13"/>
  <c r="AC1699" i="13"/>
  <c r="AC1698" i="13"/>
  <c r="AC1697" i="13"/>
  <c r="AC1696" i="13"/>
  <c r="AC1695" i="13"/>
  <c r="AC1694" i="13"/>
  <c r="AC1693" i="13"/>
  <c r="AC1692" i="13"/>
  <c r="AC1691" i="13"/>
  <c r="AC1690" i="13"/>
  <c r="AC1689" i="13"/>
  <c r="AC1688" i="13"/>
  <c r="AC1687" i="13"/>
  <c r="AC1686" i="13"/>
  <c r="AC1685" i="13"/>
  <c r="AC1684" i="13"/>
  <c r="AC1683" i="13"/>
  <c r="AC1682" i="13"/>
  <c r="AC1681" i="13"/>
  <c r="AC1680" i="13"/>
  <c r="AC1679" i="13"/>
  <c r="AC1678" i="13"/>
  <c r="AC1677" i="13"/>
  <c r="AC1676" i="13"/>
  <c r="AC1675" i="13"/>
  <c r="AC1674" i="13"/>
  <c r="AC1673" i="13"/>
  <c r="AC1672" i="13"/>
  <c r="AC1671" i="13"/>
  <c r="AC1670" i="13"/>
  <c r="AC1669" i="13"/>
  <c r="AC1668" i="13"/>
  <c r="AC1667" i="13"/>
  <c r="AC1666" i="13"/>
  <c r="AC1665" i="13"/>
  <c r="AC1664" i="13"/>
  <c r="AC1663" i="13"/>
  <c r="AC1662" i="13"/>
  <c r="AC1661" i="13"/>
  <c r="AC1660" i="13"/>
  <c r="AC1659" i="13"/>
  <c r="AC1658" i="13"/>
  <c r="AC1657" i="13"/>
  <c r="AC1656" i="13"/>
  <c r="AC1655" i="13"/>
  <c r="AC1654" i="13"/>
  <c r="AC1653" i="13"/>
  <c r="AC1652" i="13"/>
  <c r="AC1651" i="13"/>
  <c r="AC1650" i="13"/>
  <c r="AC1649" i="13"/>
  <c r="AC1648" i="13"/>
  <c r="AC1647" i="13"/>
  <c r="AC1646" i="13"/>
  <c r="AC1645" i="13"/>
  <c r="AC1644" i="13"/>
  <c r="AC1643" i="13"/>
  <c r="AC1642" i="13"/>
  <c r="AC1641" i="13"/>
  <c r="AC1640" i="13"/>
  <c r="AC1639" i="13"/>
  <c r="AC1638" i="13"/>
  <c r="AC1637" i="13"/>
  <c r="AC1636" i="13"/>
  <c r="AC1635" i="13"/>
  <c r="AC1634" i="13"/>
  <c r="AC1633" i="13"/>
  <c r="AC1632" i="13"/>
  <c r="AC1631" i="13"/>
  <c r="AC1630" i="13"/>
  <c r="AC1629" i="13"/>
  <c r="AC1628" i="13"/>
  <c r="AC1627" i="13"/>
  <c r="AC1626" i="13"/>
  <c r="AC1625" i="13"/>
  <c r="AC1624" i="13"/>
  <c r="AC1623" i="13"/>
  <c r="AC1622" i="13"/>
  <c r="AC1621" i="13"/>
  <c r="AC1620" i="13"/>
  <c r="AC1619" i="13"/>
  <c r="AC1618" i="13"/>
  <c r="AC1617" i="13"/>
  <c r="AC1616" i="13"/>
  <c r="AC1615" i="13"/>
  <c r="AC1614" i="13"/>
  <c r="AC1613" i="13"/>
  <c r="AC1612" i="13"/>
  <c r="AC1611" i="13"/>
  <c r="AC1610" i="13"/>
  <c r="AC1609" i="13"/>
  <c r="AC1608" i="13"/>
  <c r="AC1607" i="13"/>
  <c r="AC1606" i="13"/>
  <c r="AC1605" i="13"/>
  <c r="AC1604" i="13"/>
  <c r="AC1603" i="13"/>
  <c r="AC1602" i="13"/>
  <c r="AC1601" i="13"/>
  <c r="AC1600" i="13"/>
  <c r="AC1599" i="13"/>
  <c r="AC1598" i="13"/>
  <c r="AC1597" i="13"/>
  <c r="AC1596" i="13"/>
  <c r="AC1595" i="13"/>
  <c r="AC1594" i="13"/>
  <c r="AC1593" i="13"/>
  <c r="AC1592" i="13"/>
  <c r="AC1591" i="13"/>
  <c r="AC1590" i="13"/>
  <c r="AC1589" i="13"/>
  <c r="AC1588" i="13"/>
  <c r="AC1587" i="13"/>
  <c r="AC1586" i="13"/>
  <c r="AC1585" i="13"/>
  <c r="AC1584" i="13"/>
  <c r="AC1583" i="13"/>
  <c r="AC1582" i="13"/>
  <c r="AC1581" i="13"/>
  <c r="AC1580" i="13"/>
  <c r="AC1579" i="13"/>
  <c r="AC1578" i="13"/>
  <c r="AC1577" i="13"/>
  <c r="AC1576" i="13"/>
  <c r="AC1575" i="13"/>
  <c r="AC1574" i="13"/>
  <c r="AC1573" i="13"/>
  <c r="AC1572" i="13"/>
  <c r="AC1571" i="13"/>
  <c r="AC1570" i="13"/>
  <c r="AC1569" i="13"/>
  <c r="AC1568" i="13"/>
  <c r="AC1567" i="13"/>
  <c r="AC1566" i="13"/>
  <c r="AC1565" i="13"/>
  <c r="AC1564" i="13"/>
  <c r="AC1563" i="13"/>
  <c r="AC1562" i="13"/>
  <c r="AC1561" i="13"/>
  <c r="AC1560" i="13"/>
  <c r="AC1559" i="13"/>
  <c r="AC1558" i="13"/>
  <c r="AC1557" i="13"/>
  <c r="AC1556" i="13"/>
  <c r="AC1555" i="13"/>
  <c r="AC1554" i="13"/>
  <c r="AC1553" i="13"/>
  <c r="AC1552" i="13"/>
  <c r="AC1551" i="13"/>
  <c r="AC1550" i="13"/>
  <c r="AC1549" i="13"/>
  <c r="AC1548" i="13"/>
  <c r="AC1547" i="13"/>
  <c r="AC1546" i="13"/>
  <c r="AC1545" i="13"/>
  <c r="AC1544" i="13"/>
  <c r="AC1543" i="13"/>
  <c r="AC1542" i="13"/>
  <c r="AC1541" i="13"/>
  <c r="AC1540" i="13"/>
  <c r="AC1539" i="13"/>
  <c r="AC1538" i="13"/>
  <c r="AC1537" i="13"/>
  <c r="AC1536" i="13"/>
  <c r="AC1535" i="13"/>
  <c r="AC1534" i="13"/>
  <c r="AC1533" i="13"/>
  <c r="AC1532" i="13"/>
  <c r="AC1531" i="13"/>
  <c r="AC1530" i="13"/>
  <c r="AC1529" i="13"/>
  <c r="AC1528" i="13"/>
  <c r="AC1527" i="13"/>
  <c r="AC1526" i="13"/>
  <c r="AC1525" i="13"/>
  <c r="AC1524" i="13"/>
  <c r="AC1523" i="13"/>
  <c r="AC1522" i="13"/>
  <c r="AC1521" i="13"/>
  <c r="AC1520" i="13"/>
  <c r="AC1519" i="13"/>
  <c r="AC1518" i="13"/>
  <c r="AC1517" i="13"/>
  <c r="AC1516" i="13"/>
  <c r="AC1515" i="13"/>
  <c r="AC1514" i="13"/>
  <c r="AC1513" i="13"/>
  <c r="AC1512" i="13"/>
  <c r="AC1511" i="13"/>
  <c r="AC1510" i="13"/>
  <c r="AC1509" i="13"/>
  <c r="AC1508" i="13"/>
  <c r="AC1507" i="13"/>
  <c r="AC1506" i="13"/>
  <c r="AC1505" i="13"/>
  <c r="AC1504" i="13"/>
  <c r="AC1503" i="13"/>
  <c r="AC1502" i="13"/>
  <c r="AC1501" i="13"/>
  <c r="AC1500" i="13"/>
  <c r="AC1499" i="13"/>
  <c r="AC1498" i="13"/>
  <c r="AC1497" i="13"/>
  <c r="AC1496" i="13"/>
  <c r="AC1495" i="13"/>
  <c r="AC1494" i="13"/>
  <c r="AC1493" i="13"/>
  <c r="AC1492" i="13"/>
  <c r="AC1491" i="13"/>
  <c r="AC1490" i="13"/>
  <c r="AC1489" i="13"/>
  <c r="AC1488" i="13"/>
  <c r="AC1487" i="13"/>
  <c r="AC1486" i="13"/>
  <c r="AC1485" i="13"/>
  <c r="AC1484" i="13"/>
  <c r="AC1483" i="13"/>
  <c r="AC1482" i="13"/>
  <c r="AC1481" i="13"/>
  <c r="AC1480" i="13"/>
  <c r="AC1479" i="13"/>
  <c r="AC1478" i="13"/>
  <c r="AC1477" i="13"/>
  <c r="AC1476" i="13"/>
  <c r="AC1475" i="13"/>
  <c r="AC1474" i="13"/>
  <c r="AC1473" i="13"/>
  <c r="AC1472" i="13"/>
  <c r="AC1471" i="13"/>
  <c r="AC1470" i="13"/>
  <c r="AC1469" i="13"/>
  <c r="AC1468" i="13"/>
  <c r="AC1467" i="13"/>
  <c r="AC1466" i="13"/>
  <c r="AC1465" i="13"/>
  <c r="AC1464" i="13"/>
  <c r="AC1463" i="13"/>
  <c r="AC1462" i="13"/>
  <c r="AC1461" i="13"/>
  <c r="AC1460" i="13"/>
  <c r="AC1459" i="13"/>
  <c r="AC1458" i="13"/>
  <c r="AC1457" i="13"/>
  <c r="AC1456" i="13"/>
  <c r="AC1455" i="13"/>
  <c r="AC1454" i="13"/>
  <c r="AC1453" i="13"/>
  <c r="AC1452" i="13"/>
  <c r="AC1451" i="13"/>
  <c r="AC1450" i="13"/>
  <c r="AC1449" i="13"/>
  <c r="AC1448" i="13"/>
  <c r="AC1447" i="13"/>
  <c r="AC1446" i="13"/>
  <c r="AC1445" i="13"/>
  <c r="AC1444" i="13"/>
  <c r="AC1443" i="13"/>
  <c r="AC1442" i="13"/>
  <c r="AC1441" i="13"/>
  <c r="AC1440" i="13"/>
  <c r="AC1439" i="13"/>
  <c r="AC1438" i="13"/>
  <c r="AC1437" i="13"/>
  <c r="AC1436" i="13"/>
  <c r="AC1435" i="13"/>
  <c r="AC1434" i="13"/>
  <c r="AC1433" i="13"/>
  <c r="AC1432" i="13"/>
  <c r="AC1431" i="13"/>
  <c r="AC1430" i="13"/>
  <c r="AC1429" i="13"/>
  <c r="AC1428" i="13"/>
  <c r="AC1427" i="13"/>
  <c r="AC1426" i="13"/>
  <c r="AC1425" i="13"/>
  <c r="AC1424" i="13"/>
  <c r="AC1423" i="13"/>
  <c r="AC1422" i="13"/>
  <c r="AC1421" i="13"/>
  <c r="AC1420" i="13"/>
  <c r="AC1419" i="13"/>
  <c r="AC1418" i="13"/>
  <c r="AC1417" i="13"/>
  <c r="AC1416" i="13"/>
  <c r="AC1415" i="13"/>
  <c r="AC1414" i="13"/>
  <c r="AC1413" i="13"/>
  <c r="AC1412" i="13"/>
  <c r="AC1411" i="13"/>
  <c r="AC1410" i="13"/>
  <c r="AC1409" i="13"/>
  <c r="AC1408" i="13"/>
  <c r="AC1407" i="13"/>
  <c r="AC1406" i="13"/>
  <c r="AC1405" i="13"/>
  <c r="AC1404" i="13"/>
  <c r="AC1403" i="13"/>
  <c r="AC1402" i="13"/>
  <c r="AC1401" i="13"/>
  <c r="AC1400" i="13"/>
  <c r="AC1399" i="13"/>
  <c r="AC1398" i="13"/>
  <c r="AC1397" i="13"/>
  <c r="AC1396" i="13"/>
  <c r="AC1395" i="13"/>
  <c r="AC1394" i="13"/>
  <c r="AC1393" i="13"/>
  <c r="AC1392" i="13"/>
  <c r="AC1391" i="13"/>
  <c r="AC1390" i="13"/>
  <c r="AC1389" i="13"/>
  <c r="AC1388" i="13"/>
  <c r="AC1387" i="13"/>
  <c r="AC1386" i="13"/>
  <c r="AC1385" i="13"/>
  <c r="AC1384" i="13"/>
  <c r="AC1383" i="13"/>
  <c r="AC1382" i="13"/>
  <c r="AC1381" i="13"/>
  <c r="AC1380" i="13"/>
  <c r="AC1379" i="13"/>
  <c r="AC1378" i="13"/>
  <c r="AC1377" i="13"/>
  <c r="AC1376" i="13"/>
  <c r="AC1375" i="13"/>
  <c r="AC1374" i="13"/>
  <c r="AC1373" i="13"/>
  <c r="AC1372" i="13"/>
  <c r="AC1371" i="13"/>
  <c r="AC1370" i="13"/>
  <c r="AC1369" i="13"/>
  <c r="AC1368" i="13"/>
  <c r="AC1367" i="13"/>
  <c r="AC1366" i="13"/>
  <c r="AC1365" i="13"/>
  <c r="AC1364" i="13"/>
  <c r="AC1363" i="13"/>
  <c r="AC1362" i="13"/>
  <c r="AC1361" i="13"/>
  <c r="AC1360" i="13"/>
  <c r="AC1359" i="13"/>
  <c r="AC1358" i="13"/>
  <c r="AC1357" i="13"/>
  <c r="AC1356" i="13"/>
  <c r="AC1355" i="13"/>
  <c r="AC1354" i="13"/>
  <c r="AC1353" i="13"/>
  <c r="AC1352" i="13"/>
  <c r="AC1351" i="13"/>
  <c r="AC1350" i="13"/>
  <c r="AC1349" i="13"/>
  <c r="AC1348" i="13"/>
  <c r="AC1347" i="13"/>
  <c r="AC1346" i="13"/>
  <c r="AC1345" i="13"/>
  <c r="AC1344" i="13"/>
  <c r="AC1343" i="13"/>
  <c r="AC1342" i="13"/>
  <c r="AC1341" i="13"/>
  <c r="AC1340" i="13"/>
  <c r="AC1339" i="13"/>
  <c r="AC1338" i="13"/>
  <c r="AC1337" i="13"/>
  <c r="AC1336" i="13"/>
  <c r="AC1335" i="13"/>
  <c r="AC1334" i="13"/>
  <c r="AC1333" i="13"/>
  <c r="AC1332" i="13"/>
  <c r="AC1331" i="13"/>
  <c r="AC1330" i="13"/>
  <c r="AC1329" i="13"/>
  <c r="AC1328" i="13"/>
  <c r="AC1327" i="13"/>
  <c r="AC1326" i="13"/>
  <c r="AC1325" i="13"/>
  <c r="AC1324" i="13"/>
  <c r="AC1323" i="13"/>
  <c r="AC1322" i="13"/>
  <c r="AC1321" i="13"/>
  <c r="AC1320" i="13"/>
  <c r="AC1319" i="13"/>
  <c r="AC1318" i="13"/>
  <c r="AC1317" i="13"/>
  <c r="AC1316" i="13"/>
  <c r="AC1315" i="13"/>
  <c r="AC1314" i="13"/>
  <c r="AC1313" i="13"/>
  <c r="AC1312" i="13"/>
  <c r="AC1311" i="13"/>
  <c r="AC1310" i="13"/>
  <c r="AC1309" i="13"/>
  <c r="AC1308" i="13"/>
  <c r="AC1307" i="13"/>
  <c r="AC1306" i="13"/>
  <c r="AC1305" i="13"/>
  <c r="AC1304" i="13"/>
  <c r="AC1303" i="13"/>
  <c r="AC1302" i="13"/>
  <c r="AC1301" i="13"/>
  <c r="AC1300" i="13"/>
  <c r="AC1299" i="13"/>
  <c r="AC1298" i="13"/>
  <c r="AC1297" i="13"/>
  <c r="AC1296" i="13"/>
  <c r="AC1295" i="13"/>
  <c r="AC1294" i="13"/>
  <c r="AC1293" i="13"/>
  <c r="AC1292" i="13"/>
  <c r="AC1291" i="13"/>
  <c r="AC1290" i="13"/>
  <c r="AC1289" i="13"/>
  <c r="AC1288" i="13"/>
  <c r="AC1287" i="13"/>
  <c r="AC1286" i="13"/>
  <c r="AC1285" i="13"/>
  <c r="AC1284" i="13"/>
  <c r="AC1283" i="13"/>
  <c r="AC1282" i="13"/>
  <c r="AC1281" i="13"/>
  <c r="AC1280" i="13"/>
  <c r="AC1279" i="13"/>
  <c r="AC1278" i="13"/>
  <c r="AC1277" i="13"/>
  <c r="AC1276" i="13"/>
  <c r="AC1275" i="13"/>
  <c r="AC1274" i="13"/>
  <c r="AC1273" i="13"/>
  <c r="AC1272" i="13"/>
  <c r="AC1271" i="13"/>
  <c r="AC1270" i="13"/>
  <c r="AC1269" i="13"/>
  <c r="AC1268" i="13"/>
  <c r="AC1267" i="13"/>
  <c r="AC1266" i="13"/>
  <c r="AC1265" i="13"/>
  <c r="AC1264" i="13"/>
  <c r="AC1263" i="13"/>
  <c r="AC1262" i="13"/>
  <c r="AC1261" i="13"/>
  <c r="AC1260" i="13"/>
  <c r="AC1259" i="13"/>
  <c r="AC1258" i="13"/>
  <c r="AC1257" i="13"/>
  <c r="AC1256" i="13"/>
  <c r="AC1255" i="13"/>
  <c r="AC1254" i="13"/>
  <c r="AC1253" i="13"/>
  <c r="AC1252" i="13"/>
  <c r="AC1251" i="13"/>
  <c r="AC1250" i="13"/>
  <c r="AC1249" i="13"/>
  <c r="AC1248" i="13"/>
  <c r="AC1247" i="13"/>
  <c r="AC1246" i="13"/>
  <c r="AC1245" i="13"/>
  <c r="AC1244" i="13"/>
  <c r="AC1243" i="13"/>
  <c r="AC1242" i="13"/>
  <c r="AC1241" i="13"/>
  <c r="AC1240" i="13"/>
  <c r="AC1239" i="13"/>
  <c r="AC1238" i="13"/>
  <c r="AC1237" i="13"/>
  <c r="AC1236" i="13"/>
  <c r="AC1235" i="13"/>
  <c r="AC1234" i="13"/>
  <c r="AC1233" i="13"/>
  <c r="AC1232" i="13"/>
  <c r="AC1231" i="13"/>
  <c r="AC1230" i="13"/>
  <c r="AC1229" i="13"/>
  <c r="AC1228" i="13"/>
  <c r="AC1227" i="13"/>
  <c r="AC1226" i="13"/>
  <c r="AC1225" i="13"/>
  <c r="AC1224" i="13"/>
  <c r="AC1223" i="13"/>
  <c r="AC1222" i="13"/>
  <c r="AC1221" i="13"/>
  <c r="AC1220" i="13"/>
  <c r="AC1219" i="13"/>
  <c r="AC1218" i="13"/>
  <c r="AC1217" i="13"/>
  <c r="AC1216" i="13"/>
  <c r="AC1215" i="13"/>
  <c r="AC1214" i="13"/>
  <c r="AC1213" i="13"/>
  <c r="AC1212" i="13"/>
  <c r="AC1211" i="13"/>
  <c r="AC1210" i="13"/>
  <c r="AC1209" i="13"/>
  <c r="AC1208" i="13"/>
  <c r="AC1207" i="13"/>
  <c r="AC1206" i="13"/>
  <c r="AC1205" i="13"/>
  <c r="AC1204" i="13"/>
  <c r="AC1203" i="13"/>
  <c r="AC1202" i="13"/>
  <c r="AC1201" i="13"/>
  <c r="AC1200" i="13"/>
  <c r="AC1199" i="13"/>
  <c r="AC1198" i="13"/>
  <c r="AC1197" i="13"/>
  <c r="AC1196" i="13"/>
  <c r="AC1195" i="13"/>
  <c r="AC1194" i="13"/>
  <c r="AC1193" i="13"/>
  <c r="AC1192" i="13"/>
  <c r="AC1191" i="13"/>
  <c r="AC1190" i="13"/>
  <c r="AC1189" i="13"/>
  <c r="AC1188" i="13"/>
  <c r="AC1187" i="13"/>
  <c r="AC1186" i="13"/>
  <c r="AC1185" i="13"/>
  <c r="AC1184" i="13"/>
  <c r="AC1183" i="13"/>
  <c r="AC1182" i="13"/>
  <c r="AC1181" i="13"/>
  <c r="AC1180" i="13"/>
  <c r="AC1179" i="13"/>
  <c r="AC1178" i="13"/>
  <c r="AC1177" i="13"/>
  <c r="AC1176" i="13"/>
  <c r="AC1175" i="13"/>
  <c r="AC1174" i="13"/>
  <c r="AC1173" i="13"/>
  <c r="AC1172" i="13"/>
  <c r="AC1171" i="13"/>
  <c r="AC1170" i="13"/>
  <c r="AC1169" i="13"/>
  <c r="AC1168" i="13"/>
  <c r="AC1167" i="13"/>
  <c r="AC1166" i="13"/>
  <c r="AC1165" i="13"/>
  <c r="AC1164" i="13"/>
  <c r="AC1163" i="13"/>
  <c r="AC1162" i="13"/>
  <c r="AC1161" i="13"/>
  <c r="AC1160" i="13"/>
  <c r="AC1159" i="13"/>
  <c r="AC1158" i="13"/>
  <c r="AC1157" i="13"/>
  <c r="AC1156" i="13"/>
  <c r="AC1155" i="13"/>
  <c r="AC1154" i="13"/>
  <c r="AC1153" i="13"/>
  <c r="AC1152" i="13"/>
  <c r="AC1151" i="13"/>
  <c r="AC1150" i="13"/>
  <c r="AC1149" i="13"/>
  <c r="AC1148" i="13"/>
  <c r="AC1147" i="13"/>
  <c r="AC1146" i="13"/>
  <c r="AC1145" i="13"/>
  <c r="AC1144" i="13"/>
  <c r="AC1143" i="13"/>
  <c r="AC1142" i="13"/>
  <c r="AC1141" i="13"/>
  <c r="AC1140" i="13"/>
  <c r="AC1139" i="13"/>
  <c r="AC1138" i="13"/>
  <c r="AC1137" i="13"/>
  <c r="AC1136" i="13"/>
  <c r="AC1135" i="13"/>
  <c r="AC1134" i="13"/>
  <c r="AC1133" i="13"/>
  <c r="AC1132" i="13"/>
  <c r="AC1131" i="13"/>
  <c r="AC1130" i="13"/>
  <c r="AC1129" i="13"/>
  <c r="AC1128" i="13"/>
  <c r="AC1127" i="13"/>
  <c r="AC1126" i="13"/>
  <c r="AC1125" i="13"/>
  <c r="AC1124" i="13"/>
  <c r="AC1123" i="13"/>
  <c r="AC1122" i="13"/>
  <c r="AC1121" i="13"/>
  <c r="AC1120" i="13"/>
  <c r="AC1119" i="13"/>
  <c r="AC1118" i="13"/>
  <c r="AC1117" i="13"/>
  <c r="AC1116" i="13"/>
  <c r="AC1115" i="13"/>
  <c r="AC1114" i="13"/>
  <c r="AC1113" i="13"/>
  <c r="AC1112" i="13"/>
  <c r="AC1111" i="13"/>
  <c r="AC1110" i="13"/>
  <c r="AC1109" i="13"/>
  <c r="AC1108" i="13"/>
  <c r="AC1107" i="13"/>
  <c r="AC1106" i="13"/>
  <c r="AC1105" i="13"/>
  <c r="AC1104" i="13"/>
  <c r="AC1103" i="13"/>
  <c r="AC1102" i="13"/>
  <c r="AC1101" i="13"/>
  <c r="AC1100" i="13"/>
  <c r="AC1099" i="13"/>
  <c r="AC1098" i="13"/>
  <c r="AC1097" i="13"/>
  <c r="AC1096" i="13"/>
  <c r="AC1095" i="13"/>
  <c r="AC1094" i="13"/>
  <c r="AC1093" i="13"/>
  <c r="AC1092" i="13"/>
  <c r="AC1091" i="13"/>
  <c r="AC1090" i="13"/>
  <c r="AC1089" i="13"/>
  <c r="AC1088" i="13"/>
  <c r="AC1087" i="13"/>
  <c r="AC1086" i="13"/>
  <c r="AC1085" i="13"/>
  <c r="AC1084" i="13"/>
  <c r="AC1083" i="13"/>
  <c r="AC1082" i="13"/>
  <c r="AC1081" i="13"/>
  <c r="AC1080" i="13"/>
  <c r="AC1079" i="13"/>
  <c r="AC1078" i="13"/>
  <c r="AC1077" i="13"/>
  <c r="AC1076" i="13"/>
  <c r="AC1075" i="13"/>
  <c r="AC1074" i="13"/>
  <c r="AC1073" i="13"/>
  <c r="AC1072" i="13"/>
  <c r="AC1071" i="13"/>
  <c r="AC1070" i="13"/>
  <c r="AC1069" i="13"/>
  <c r="AC1068" i="13"/>
  <c r="AC1067" i="13"/>
  <c r="AC1066" i="13"/>
  <c r="AC1065" i="13"/>
  <c r="AC1064" i="13"/>
  <c r="AC1063" i="13"/>
  <c r="AC1062" i="13"/>
  <c r="AC1061" i="13"/>
  <c r="AC1060" i="13"/>
  <c r="AC1059" i="13"/>
  <c r="AC1058" i="13"/>
  <c r="AC1057" i="13"/>
  <c r="AC1056" i="13"/>
  <c r="AC1055" i="13"/>
  <c r="AC1054" i="13"/>
  <c r="AC1053" i="13"/>
  <c r="AC1052" i="13"/>
  <c r="AC1051" i="13"/>
  <c r="AC1050" i="13"/>
  <c r="AC1049" i="13"/>
  <c r="AC1048" i="13"/>
  <c r="AC1047" i="13"/>
  <c r="AC1046" i="13"/>
  <c r="AC1045" i="13"/>
  <c r="AC1044" i="13"/>
  <c r="AC1043" i="13"/>
  <c r="AC1042" i="13"/>
  <c r="AC1041" i="13"/>
  <c r="AC1040" i="13"/>
  <c r="AC1039" i="13"/>
  <c r="AC1038" i="13"/>
  <c r="AC1037" i="13"/>
  <c r="AC1036" i="13"/>
  <c r="AC1035" i="13"/>
  <c r="AC1034" i="13"/>
  <c r="AC1033" i="13"/>
  <c r="AC1032" i="13"/>
  <c r="AC1031" i="13"/>
  <c r="AC1030" i="13"/>
  <c r="AC1029" i="13"/>
  <c r="AC1028" i="13"/>
  <c r="AC1027" i="13"/>
  <c r="AC1026" i="13"/>
  <c r="AC1025" i="13"/>
  <c r="AC1024" i="13"/>
  <c r="AC1023" i="13"/>
  <c r="AC1022" i="13"/>
  <c r="AC1021" i="13"/>
  <c r="AC1020" i="13"/>
  <c r="AC1019" i="13"/>
  <c r="AC1018" i="13"/>
  <c r="AC1017" i="13"/>
  <c r="AC1016" i="13"/>
  <c r="AC1015" i="13"/>
  <c r="AC1014" i="13"/>
  <c r="AC1013" i="13"/>
  <c r="AC1012" i="13"/>
  <c r="AC1011" i="13"/>
  <c r="AC1010" i="13"/>
  <c r="AC1009" i="13"/>
  <c r="AC1008" i="13"/>
  <c r="AC1007" i="13"/>
  <c r="AC1006" i="13"/>
  <c r="AC1005" i="13"/>
  <c r="AC1004" i="13"/>
  <c r="AC1003" i="13"/>
  <c r="AC1002" i="13"/>
  <c r="AC1001" i="13"/>
  <c r="AC1000" i="13"/>
  <c r="AC999" i="13"/>
  <c r="AC998" i="13"/>
  <c r="AC997" i="13"/>
  <c r="AC996" i="13"/>
  <c r="AC995" i="13"/>
  <c r="AC994" i="13"/>
  <c r="AC993" i="13"/>
  <c r="AC992" i="13"/>
  <c r="AC991" i="13"/>
  <c r="AC990" i="13"/>
  <c r="AC989" i="13"/>
  <c r="AC988" i="13"/>
  <c r="AC987" i="13"/>
  <c r="AC986" i="13"/>
  <c r="AC985" i="13"/>
  <c r="AC984" i="13"/>
  <c r="AC983" i="13"/>
  <c r="AC982" i="13"/>
  <c r="AC981" i="13"/>
  <c r="AC980" i="13"/>
  <c r="AC979" i="13"/>
  <c r="AC978" i="13"/>
  <c r="AC977" i="13"/>
  <c r="AC976" i="13"/>
  <c r="AC975" i="13"/>
  <c r="AC974" i="13"/>
  <c r="AC973" i="13"/>
  <c r="AC972" i="13"/>
  <c r="AC971" i="13"/>
  <c r="AC970" i="13"/>
  <c r="AC969" i="13"/>
  <c r="AC968" i="13"/>
  <c r="AC967" i="13"/>
  <c r="AC966" i="13"/>
  <c r="AC965" i="13"/>
  <c r="AC964" i="13"/>
  <c r="AC963" i="13"/>
  <c r="AC962" i="13"/>
  <c r="AC961" i="13"/>
  <c r="AC960" i="13"/>
  <c r="AC959" i="13"/>
  <c r="AC958" i="13"/>
  <c r="AC957" i="13"/>
  <c r="AC956" i="13"/>
  <c r="AC955" i="13"/>
  <c r="AC954" i="13"/>
  <c r="AC953" i="13"/>
  <c r="AC952" i="13"/>
  <c r="AC951" i="13"/>
  <c r="AC950" i="13"/>
  <c r="AC949" i="13"/>
  <c r="AC948" i="13"/>
  <c r="AC947" i="13"/>
  <c r="AC946" i="13"/>
  <c r="AC945" i="13"/>
  <c r="AC944" i="13"/>
  <c r="AC943" i="13"/>
  <c r="AC942" i="13"/>
  <c r="AC941" i="13"/>
  <c r="AC940" i="13"/>
  <c r="AC939" i="13"/>
  <c r="AC938" i="13"/>
  <c r="AC937" i="13"/>
  <c r="AC936" i="13"/>
  <c r="AC935" i="13"/>
  <c r="AC934" i="13"/>
  <c r="AC933" i="13"/>
  <c r="AC932" i="13"/>
  <c r="AC931" i="13"/>
  <c r="AC930" i="13"/>
  <c r="AC929" i="13"/>
  <c r="AC928" i="13"/>
  <c r="AC927" i="13"/>
  <c r="AC926" i="13"/>
  <c r="AC925" i="13"/>
  <c r="AC924" i="13"/>
  <c r="AC923" i="13"/>
  <c r="AC922" i="13"/>
  <c r="AC921" i="13"/>
  <c r="AC920" i="13"/>
  <c r="AC919" i="13"/>
  <c r="AC918" i="13"/>
  <c r="AC917" i="13"/>
  <c r="AC916" i="13"/>
  <c r="AC915" i="13"/>
  <c r="AC914" i="13"/>
  <c r="AC913" i="13"/>
  <c r="AC912" i="13"/>
  <c r="AC911" i="13"/>
  <c r="AC910" i="13"/>
  <c r="AC909" i="13"/>
  <c r="AC908" i="13"/>
  <c r="AC907" i="13"/>
  <c r="AC906" i="13"/>
  <c r="AC905" i="13"/>
  <c r="AC904" i="13"/>
  <c r="AC903" i="13"/>
  <c r="AC902" i="13"/>
  <c r="AC901" i="13"/>
  <c r="AC900" i="13"/>
  <c r="AC899" i="13"/>
  <c r="AC898" i="13"/>
  <c r="AC897" i="13"/>
  <c r="AC896" i="13"/>
  <c r="AC895" i="13"/>
  <c r="AC894" i="13"/>
  <c r="AC893" i="13"/>
  <c r="AC892" i="13"/>
  <c r="AC891" i="13"/>
  <c r="AC890" i="13"/>
  <c r="AC889" i="13"/>
  <c r="AC888" i="13"/>
  <c r="AC887" i="13"/>
  <c r="AC886" i="13"/>
  <c r="AC885" i="13"/>
  <c r="AC884" i="13"/>
  <c r="AC883" i="13"/>
  <c r="AC882" i="13"/>
  <c r="AC881" i="13"/>
  <c r="AC880" i="13"/>
  <c r="AC879" i="13"/>
  <c r="AC878" i="13"/>
  <c r="AC877" i="13"/>
  <c r="AC876" i="13"/>
  <c r="AC875" i="13"/>
  <c r="AC874" i="13"/>
  <c r="AC873" i="13"/>
  <c r="AC872" i="13"/>
  <c r="AC871" i="13"/>
  <c r="AC870" i="13"/>
  <c r="AC869" i="13"/>
  <c r="AC868" i="13"/>
  <c r="AC867" i="13"/>
  <c r="AC866" i="13"/>
  <c r="AC865" i="13"/>
  <c r="AC864" i="13"/>
  <c r="AC863" i="13"/>
  <c r="AC862" i="13"/>
  <c r="AC861" i="13"/>
  <c r="AC860" i="13"/>
  <c r="AC859" i="13"/>
  <c r="AC858" i="13"/>
  <c r="AC857" i="13"/>
  <c r="AC856" i="13"/>
  <c r="AC855" i="13"/>
  <c r="AC854" i="13"/>
  <c r="AC853" i="13"/>
  <c r="AC852" i="13"/>
  <c r="AC851" i="13"/>
  <c r="AC850" i="13"/>
  <c r="AC849" i="13"/>
  <c r="AC848" i="13"/>
  <c r="AC847" i="13"/>
  <c r="AC846" i="13"/>
  <c r="AC845" i="13"/>
  <c r="AC844" i="13"/>
  <c r="AC843" i="13"/>
  <c r="AC842" i="13"/>
  <c r="AC841" i="13"/>
  <c r="AC840" i="13"/>
  <c r="AC839" i="13"/>
  <c r="AC838" i="13"/>
  <c r="AC837" i="13"/>
  <c r="AC836" i="13"/>
  <c r="AC835" i="13"/>
  <c r="AC834" i="13"/>
  <c r="AC833" i="13"/>
  <c r="AC832" i="13"/>
  <c r="AC831" i="13"/>
  <c r="AC830" i="13"/>
  <c r="AC829" i="13"/>
  <c r="AC828" i="13"/>
  <c r="AC827" i="13"/>
  <c r="AC826" i="13"/>
  <c r="AC825" i="13"/>
  <c r="AC824" i="13"/>
  <c r="AC823" i="13"/>
  <c r="AC822" i="13"/>
  <c r="AC821" i="13"/>
  <c r="AC820" i="13"/>
  <c r="AC819" i="13"/>
  <c r="AC818" i="13"/>
  <c r="AC817" i="13"/>
  <c r="AC816" i="13"/>
  <c r="AC815" i="13"/>
  <c r="AC814" i="13"/>
  <c r="AC813" i="13"/>
  <c r="AC812" i="13"/>
  <c r="AC811" i="13"/>
  <c r="AC810" i="13"/>
  <c r="AC809" i="13"/>
  <c r="AC808" i="13"/>
  <c r="AC807" i="13"/>
  <c r="AC806" i="13"/>
  <c r="AC805" i="13"/>
  <c r="AC804" i="13"/>
  <c r="AC803" i="13"/>
  <c r="AC802" i="13"/>
  <c r="AC801" i="13"/>
  <c r="AC800" i="13"/>
  <c r="AC799" i="13"/>
  <c r="AC798" i="13"/>
  <c r="AC797" i="13"/>
  <c r="AC796" i="13"/>
  <c r="AC795" i="13"/>
  <c r="AC794" i="13"/>
  <c r="AC793" i="13"/>
  <c r="AC792" i="13"/>
  <c r="AC791" i="13"/>
  <c r="AC790" i="13"/>
  <c r="AC789" i="13"/>
  <c r="AC788" i="13"/>
  <c r="AC787" i="13"/>
  <c r="AC786" i="13"/>
  <c r="AC785" i="13"/>
  <c r="AC784" i="13"/>
  <c r="AC783" i="13"/>
  <c r="AC782" i="13"/>
  <c r="AC781" i="13"/>
  <c r="AC780" i="13"/>
  <c r="AC779" i="13"/>
  <c r="AC778" i="13"/>
  <c r="AC777" i="13"/>
  <c r="AC776" i="13"/>
  <c r="AC775" i="13"/>
  <c r="AC774" i="13"/>
  <c r="AC773" i="13"/>
  <c r="AC772" i="13"/>
  <c r="AC771" i="13"/>
  <c r="AC770" i="13"/>
  <c r="AC769" i="13"/>
  <c r="AC768" i="13"/>
  <c r="AC767" i="13"/>
  <c r="AC766" i="13"/>
  <c r="AC765" i="13"/>
  <c r="AC764" i="13"/>
  <c r="AC763" i="13"/>
  <c r="AC762" i="13"/>
  <c r="AC761" i="13"/>
  <c r="AC760" i="13"/>
  <c r="AC759" i="13"/>
  <c r="AC758" i="13"/>
  <c r="AC757" i="13"/>
  <c r="AC756" i="13"/>
  <c r="AC755" i="13"/>
  <c r="AC754" i="13"/>
  <c r="AC753" i="13"/>
  <c r="AC752" i="13"/>
  <c r="AC751" i="13"/>
  <c r="AC750" i="13"/>
  <c r="AC749" i="13"/>
  <c r="AC748" i="13"/>
  <c r="AC747" i="13"/>
  <c r="AC746" i="13"/>
  <c r="AC745" i="13"/>
  <c r="AC744" i="13"/>
  <c r="AC743" i="13"/>
  <c r="AC742" i="13"/>
  <c r="AC741" i="13"/>
  <c r="AC740" i="13"/>
  <c r="AC739" i="13"/>
  <c r="AC738" i="13"/>
  <c r="AC737" i="13"/>
  <c r="AC736" i="13"/>
  <c r="AC735" i="13"/>
  <c r="AC734" i="13"/>
  <c r="AC733" i="13"/>
  <c r="AC732" i="13"/>
  <c r="AC731" i="13"/>
  <c r="AC730" i="13"/>
  <c r="AC729" i="13"/>
  <c r="AC728" i="13"/>
  <c r="AC727" i="13"/>
  <c r="AC726" i="13"/>
  <c r="AC725" i="13"/>
  <c r="AC724" i="13"/>
  <c r="AC723" i="13"/>
  <c r="AC722" i="13"/>
  <c r="AC721" i="13"/>
  <c r="AC720" i="13"/>
  <c r="AC719" i="13"/>
  <c r="AC718" i="13"/>
  <c r="AC717" i="13"/>
  <c r="AC716" i="13"/>
  <c r="AC715" i="13"/>
  <c r="AC714" i="13"/>
  <c r="AC713" i="13"/>
  <c r="AC712" i="13"/>
  <c r="AC711" i="13"/>
  <c r="AC710" i="13"/>
  <c r="AC709" i="13"/>
  <c r="AC708" i="13"/>
  <c r="AC707" i="13"/>
  <c r="AC706" i="13"/>
  <c r="AC705" i="13"/>
  <c r="AC704" i="13"/>
  <c r="AC703" i="13"/>
  <c r="AC702" i="13"/>
  <c r="AC701" i="13"/>
  <c r="AC700" i="13"/>
  <c r="AC699" i="13"/>
  <c r="AC698" i="13"/>
  <c r="AC697" i="13"/>
  <c r="AC696" i="13"/>
  <c r="AC695" i="13"/>
  <c r="AC694" i="13"/>
  <c r="AC693" i="13"/>
  <c r="AC692" i="13"/>
  <c r="AC691" i="13"/>
  <c r="AC690" i="13"/>
  <c r="AC689" i="13"/>
  <c r="AC688" i="13"/>
  <c r="AC687" i="13"/>
  <c r="AC686" i="13"/>
  <c r="AC685" i="13"/>
  <c r="AC684" i="13"/>
  <c r="AC683" i="13"/>
  <c r="AC682" i="13"/>
  <c r="AC681" i="13"/>
  <c r="AC680" i="13"/>
  <c r="AC679" i="13"/>
  <c r="AC678" i="13"/>
  <c r="AC677" i="13"/>
  <c r="AC676" i="13"/>
  <c r="AC675" i="13"/>
  <c r="AC674" i="13"/>
  <c r="AC673" i="13"/>
  <c r="AC672" i="13"/>
  <c r="AC671" i="13"/>
  <c r="AC670" i="13"/>
  <c r="AC669" i="13"/>
  <c r="AC668" i="13"/>
  <c r="AC667" i="13"/>
  <c r="AC666" i="13"/>
  <c r="AC665" i="13"/>
  <c r="AC664" i="13"/>
  <c r="AC663" i="13"/>
  <c r="AC662" i="13"/>
  <c r="AC661" i="13"/>
  <c r="AC660" i="13"/>
  <c r="AC659" i="13"/>
  <c r="AC658" i="13"/>
  <c r="AC657" i="13"/>
  <c r="AC656" i="13"/>
  <c r="AC655" i="13"/>
  <c r="AC654" i="13"/>
  <c r="AC653" i="13"/>
  <c r="AC652" i="13"/>
  <c r="AC651" i="13"/>
  <c r="AC650" i="13"/>
  <c r="AC649" i="13"/>
  <c r="AC648" i="13"/>
  <c r="AC647" i="13"/>
  <c r="AC646" i="13"/>
  <c r="AC645" i="13"/>
  <c r="AC644" i="13"/>
  <c r="AC643" i="13"/>
  <c r="AC642" i="13"/>
  <c r="AC641" i="13"/>
  <c r="AC640" i="13"/>
  <c r="AC639" i="13"/>
  <c r="AC638" i="13"/>
  <c r="AC637" i="13"/>
  <c r="AC636" i="13"/>
  <c r="AC635" i="13"/>
  <c r="AC634" i="13"/>
  <c r="AC633" i="13"/>
  <c r="AC632" i="13"/>
  <c r="AC631" i="13"/>
  <c r="AC630" i="13"/>
  <c r="AC629" i="13"/>
  <c r="AC628" i="13"/>
  <c r="AC627" i="13"/>
  <c r="AC626" i="13"/>
  <c r="AC625" i="13"/>
  <c r="AC624" i="13"/>
  <c r="AC623" i="13"/>
  <c r="AC622" i="13"/>
  <c r="AC621" i="13"/>
  <c r="AC620" i="13"/>
  <c r="AC619" i="13"/>
  <c r="AC618" i="13"/>
  <c r="AC617" i="13"/>
  <c r="AC616" i="13"/>
  <c r="AC615" i="13"/>
  <c r="AC614" i="13"/>
  <c r="AC613" i="13"/>
  <c r="AC612" i="13"/>
  <c r="AC611" i="13"/>
  <c r="AC610" i="13"/>
  <c r="AC609" i="13"/>
  <c r="AC608" i="13"/>
  <c r="AC607" i="13"/>
  <c r="AC606" i="13"/>
  <c r="AC605" i="13"/>
  <c r="AC604" i="13"/>
  <c r="AC603" i="13"/>
  <c r="AC602" i="13"/>
  <c r="AC601" i="13"/>
  <c r="AC600" i="13"/>
  <c r="AC599" i="13"/>
  <c r="AC598" i="13"/>
  <c r="AC597" i="13"/>
  <c r="AC596" i="13"/>
  <c r="AC595" i="13"/>
  <c r="AC594" i="13"/>
  <c r="AC593" i="13"/>
  <c r="AC592" i="13"/>
  <c r="AC591" i="13"/>
  <c r="AC590" i="13"/>
  <c r="AC589" i="13"/>
  <c r="AC588" i="13"/>
  <c r="AC587" i="13"/>
  <c r="AC586" i="13"/>
  <c r="AC585" i="13"/>
  <c r="AC584" i="13"/>
  <c r="AC583" i="13"/>
  <c r="AC582" i="13"/>
  <c r="AC581" i="13"/>
  <c r="AC580" i="13"/>
  <c r="AC579" i="13"/>
  <c r="AC578" i="13"/>
  <c r="AC577" i="13"/>
  <c r="AC576" i="13"/>
  <c r="AC575" i="13"/>
  <c r="AC574" i="13"/>
  <c r="AC573" i="13"/>
  <c r="AC572" i="13"/>
  <c r="AC571" i="13"/>
  <c r="AC570" i="13"/>
  <c r="AC569" i="13"/>
  <c r="AC568" i="13"/>
  <c r="AC567" i="13"/>
  <c r="AC566" i="13"/>
  <c r="AC565" i="13"/>
  <c r="AC564" i="13"/>
  <c r="AC563" i="13"/>
  <c r="AC562" i="13"/>
  <c r="AC561" i="13"/>
  <c r="AC560" i="13"/>
  <c r="AC559" i="13"/>
  <c r="AC558" i="13"/>
  <c r="AC557" i="13"/>
  <c r="AC556" i="13"/>
  <c r="AC555" i="13"/>
  <c r="AC554" i="13"/>
  <c r="AC553" i="13"/>
  <c r="AC552" i="13"/>
  <c r="AC551" i="13"/>
  <c r="AC550" i="13"/>
  <c r="AC549" i="13"/>
  <c r="AC548" i="13"/>
  <c r="AC547" i="13"/>
  <c r="AC546" i="13"/>
  <c r="AC545" i="13"/>
  <c r="AC544" i="13"/>
  <c r="AC543" i="13"/>
  <c r="AC542" i="13"/>
  <c r="AC541" i="13"/>
  <c r="AC540" i="13"/>
  <c r="AC539" i="13"/>
  <c r="AC538" i="13"/>
  <c r="AC537" i="13"/>
  <c r="AC536" i="13"/>
  <c r="AC535" i="13"/>
  <c r="AC534" i="13"/>
  <c r="AC533" i="13"/>
  <c r="AC532" i="13"/>
  <c r="AC531" i="13"/>
  <c r="AC530" i="13"/>
  <c r="AC529" i="13"/>
  <c r="AC528" i="13"/>
  <c r="AC527" i="13"/>
  <c r="AC526" i="13"/>
  <c r="AC525" i="13"/>
  <c r="AC524" i="13"/>
  <c r="AC523" i="13"/>
  <c r="AC522" i="13"/>
  <c r="AC521" i="13"/>
  <c r="AC520" i="13"/>
  <c r="AC519" i="13"/>
  <c r="AC518" i="13"/>
  <c r="AC517" i="13"/>
  <c r="AC516" i="13"/>
  <c r="AC515" i="13"/>
  <c r="AC514" i="13"/>
  <c r="AC513" i="13"/>
  <c r="AC512" i="13"/>
  <c r="AC511" i="13"/>
  <c r="AC510" i="13"/>
  <c r="AC509" i="13"/>
  <c r="AC508" i="13"/>
  <c r="AC507" i="13"/>
  <c r="AC506" i="13"/>
  <c r="AC505" i="13"/>
  <c r="AC504" i="13"/>
  <c r="AC503" i="13"/>
  <c r="AC502" i="13"/>
  <c r="AC501" i="13"/>
  <c r="AC500" i="13"/>
  <c r="AC499" i="13"/>
  <c r="AC498" i="13"/>
  <c r="AC497" i="13"/>
  <c r="AC496" i="13"/>
  <c r="AC495" i="13"/>
  <c r="AC494" i="13"/>
  <c r="AC493" i="13"/>
  <c r="AC492" i="13"/>
  <c r="AC491" i="13"/>
  <c r="AC490" i="13"/>
  <c r="AC489" i="13"/>
  <c r="AC488" i="13"/>
  <c r="AC487" i="13"/>
  <c r="AC486" i="13"/>
  <c r="AC485" i="13"/>
  <c r="AC484" i="13"/>
  <c r="AC483" i="13"/>
  <c r="AC482" i="13"/>
  <c r="AC481" i="13"/>
  <c r="AC480" i="13"/>
  <c r="AC479" i="13"/>
  <c r="AC478" i="13"/>
  <c r="AC477" i="13"/>
  <c r="AC476" i="13"/>
  <c r="AC475" i="13"/>
  <c r="AC474" i="13"/>
  <c r="AC473" i="13"/>
  <c r="AC472" i="13"/>
  <c r="AC471" i="13"/>
  <c r="AC470" i="13"/>
  <c r="AC469" i="13"/>
  <c r="AC468" i="13"/>
  <c r="AC467" i="13"/>
  <c r="AC466" i="13"/>
  <c r="AC465" i="13"/>
  <c r="AC464" i="13"/>
  <c r="AC463" i="13"/>
  <c r="AC462" i="13"/>
  <c r="AC461" i="13"/>
  <c r="AC460" i="13"/>
  <c r="AC459" i="13"/>
  <c r="AC458" i="13"/>
  <c r="AC457" i="13"/>
  <c r="AC456" i="13"/>
  <c r="AC455" i="13"/>
  <c r="AC454" i="13"/>
  <c r="AC453" i="13"/>
  <c r="AC452" i="13"/>
  <c r="AC451" i="13"/>
  <c r="AC450" i="13"/>
  <c r="AC449" i="13"/>
  <c r="AC448" i="13"/>
  <c r="AC447" i="13"/>
  <c r="AC446" i="13"/>
  <c r="AC445" i="13"/>
  <c r="AC444" i="13"/>
  <c r="AC443" i="13"/>
  <c r="AC442" i="13"/>
  <c r="AC441" i="13"/>
  <c r="AC440" i="13"/>
  <c r="AC439" i="13"/>
  <c r="AC438" i="13"/>
  <c r="AC437" i="13"/>
  <c r="AC436" i="13"/>
  <c r="AC435" i="13"/>
  <c r="AC434" i="13"/>
  <c r="AC433" i="13"/>
  <c r="AC432" i="13"/>
  <c r="AC431" i="13"/>
  <c r="AC430" i="13"/>
  <c r="AC429" i="13"/>
  <c r="AC428" i="13"/>
  <c r="AC427" i="13"/>
  <c r="AC426" i="13"/>
  <c r="AC425" i="13"/>
  <c r="AC424" i="13"/>
  <c r="AC423" i="13"/>
  <c r="AC422" i="13"/>
  <c r="AC421" i="13"/>
  <c r="AC420" i="13"/>
  <c r="AC419" i="13"/>
  <c r="AC418" i="13"/>
  <c r="AC417" i="13"/>
  <c r="AC416" i="13"/>
  <c r="AC415" i="13"/>
  <c r="AC414" i="13"/>
  <c r="AC413" i="13"/>
  <c r="AC412" i="13"/>
  <c r="AC411" i="13"/>
  <c r="AC410" i="13"/>
  <c r="AC409" i="13"/>
  <c r="AC408" i="13"/>
  <c r="AC407" i="13"/>
  <c r="AC406" i="13"/>
  <c r="AC405" i="13"/>
  <c r="AC404" i="13"/>
  <c r="AC403" i="13"/>
  <c r="AC402" i="13"/>
  <c r="AC401" i="13"/>
  <c r="AC400" i="13"/>
  <c r="AC399" i="13"/>
  <c r="AC398" i="13"/>
  <c r="AC397" i="13"/>
  <c r="AC396" i="13"/>
  <c r="AC395" i="13"/>
  <c r="AC394" i="13"/>
  <c r="AC393" i="13"/>
  <c r="AC392" i="13"/>
  <c r="AC391" i="13"/>
  <c r="AC390" i="13"/>
  <c r="AC389" i="13"/>
  <c r="AC388" i="13"/>
  <c r="AC387" i="13"/>
  <c r="AC386" i="13"/>
  <c r="AC385" i="13"/>
  <c r="AC384" i="13"/>
  <c r="AC383" i="13"/>
  <c r="AC382" i="13"/>
  <c r="AC381" i="13"/>
  <c r="AC380" i="13"/>
  <c r="AC379" i="13"/>
  <c r="AC378" i="13"/>
  <c r="AC377" i="13"/>
  <c r="AC376" i="13"/>
  <c r="AC375" i="13"/>
  <c r="AC374" i="13"/>
  <c r="AC373" i="13"/>
  <c r="AC372" i="13"/>
  <c r="AC371" i="13"/>
  <c r="AC370" i="13"/>
  <c r="AC369" i="13"/>
  <c r="AC368" i="13"/>
  <c r="AC367" i="13"/>
  <c r="AC366" i="13"/>
  <c r="AC365" i="13"/>
  <c r="AC364" i="13"/>
  <c r="AC363" i="13"/>
  <c r="AC362" i="13"/>
  <c r="AC361" i="13"/>
  <c r="AC360" i="13"/>
  <c r="AC359" i="13"/>
  <c r="AC358" i="13"/>
  <c r="AC357" i="13"/>
  <c r="AC356" i="13"/>
  <c r="AC355" i="13"/>
  <c r="AC354" i="13"/>
  <c r="AC353" i="13"/>
  <c r="AC352" i="13"/>
  <c r="AC351" i="13"/>
  <c r="AC350" i="13"/>
  <c r="AC349" i="13"/>
  <c r="AC348" i="13"/>
  <c r="AC347" i="13"/>
  <c r="AC346" i="13"/>
  <c r="AC345" i="13"/>
  <c r="AC344" i="13"/>
  <c r="AC343" i="13"/>
  <c r="AC342" i="13"/>
  <c r="AC341" i="13"/>
  <c r="AC340" i="13"/>
  <c r="AC339" i="13"/>
  <c r="AC338" i="13"/>
  <c r="AC337" i="13"/>
  <c r="AC336" i="13"/>
  <c r="AC335" i="13"/>
  <c r="AC334" i="13"/>
  <c r="AC333" i="13"/>
  <c r="AC332" i="13"/>
  <c r="AC331" i="13"/>
  <c r="AC330" i="13"/>
  <c r="AC329" i="13"/>
  <c r="AC328" i="13"/>
  <c r="AC327" i="13"/>
  <c r="AC326" i="13"/>
  <c r="AC325" i="13"/>
  <c r="AC324" i="13"/>
  <c r="AC323" i="13"/>
  <c r="AC322" i="13"/>
  <c r="AC321" i="13"/>
  <c r="AC320" i="13"/>
  <c r="AC319" i="13"/>
  <c r="AC318" i="13"/>
  <c r="AC317" i="13"/>
  <c r="AC316" i="13"/>
  <c r="AC315" i="13"/>
  <c r="AC314" i="13"/>
  <c r="AC313" i="13"/>
  <c r="AC312" i="13"/>
  <c r="AC311" i="13"/>
  <c r="AC310" i="13"/>
  <c r="AC309" i="13"/>
  <c r="AC308" i="13"/>
  <c r="AC307" i="13"/>
  <c r="AC306" i="13"/>
  <c r="AC305" i="13"/>
  <c r="AC304" i="13"/>
  <c r="AC303" i="13"/>
  <c r="AC302" i="13"/>
  <c r="AC301" i="13"/>
  <c r="AC300" i="13"/>
  <c r="AC299" i="13"/>
  <c r="AC298" i="13"/>
  <c r="AC297" i="13"/>
  <c r="AC296" i="13"/>
  <c r="AC295" i="13"/>
  <c r="AC294" i="13"/>
  <c r="AC293" i="13"/>
  <c r="AC292" i="13"/>
  <c r="AC291" i="13"/>
  <c r="AC290" i="13"/>
  <c r="AC289" i="13"/>
  <c r="AC288" i="13"/>
  <c r="AC287" i="13"/>
  <c r="AC286" i="13"/>
  <c r="AC285" i="13"/>
  <c r="AC284" i="13"/>
  <c r="AC283" i="13"/>
  <c r="AC282" i="13"/>
  <c r="AC281" i="13"/>
  <c r="AC280" i="13"/>
  <c r="AC279" i="13"/>
  <c r="AC278" i="13"/>
  <c r="AC277" i="13"/>
  <c r="R367" i="13"/>
  <c r="Q367" i="13"/>
  <c r="P367" i="13"/>
  <c r="O367" i="13"/>
  <c r="N367" i="13"/>
  <c r="R366" i="13"/>
  <c r="Q366" i="13"/>
  <c r="P366" i="13"/>
  <c r="O366" i="13"/>
  <c r="N366" i="13"/>
  <c r="AC276" i="13"/>
  <c r="AC275" i="13"/>
  <c r="AC274" i="13"/>
  <c r="AC273" i="13"/>
  <c r="AC272" i="13"/>
  <c r="AC271" i="13"/>
  <c r="AC270" i="13"/>
  <c r="AC269" i="13"/>
  <c r="AC268" i="13"/>
  <c r="R379" i="13"/>
  <c r="Q379" i="13"/>
  <c r="P379" i="13"/>
  <c r="O379" i="13"/>
  <c r="N379" i="13"/>
  <c r="AC267" i="13"/>
  <c r="AC266" i="13"/>
  <c r="AC265" i="13"/>
  <c r="AC264" i="13"/>
  <c r="AC263" i="13"/>
  <c r="AC262" i="13"/>
  <c r="AC261" i="13"/>
  <c r="AC260" i="13"/>
  <c r="AC259" i="13"/>
  <c r="R393" i="13"/>
  <c r="Q393" i="13"/>
  <c r="P393" i="13"/>
  <c r="O393" i="13"/>
  <c r="N393" i="13"/>
  <c r="R392" i="13"/>
  <c r="Q392" i="13"/>
  <c r="P392" i="13"/>
  <c r="O392" i="13"/>
  <c r="N392" i="13"/>
  <c r="AC258" i="13"/>
  <c r="AC257" i="13"/>
  <c r="AC256" i="13"/>
  <c r="AC255" i="13"/>
  <c r="AC254" i="13"/>
  <c r="AC253" i="13"/>
  <c r="AC252" i="13"/>
  <c r="AC251" i="13"/>
  <c r="AC250" i="13"/>
  <c r="AC249" i="13"/>
  <c r="AC248" i="13"/>
  <c r="AC247" i="13"/>
  <c r="AC246" i="13"/>
  <c r="AC245" i="13"/>
  <c r="AC244" i="13"/>
  <c r="AC243" i="13"/>
  <c r="AC242" i="13"/>
  <c r="AC241" i="13"/>
  <c r="AC240" i="13"/>
  <c r="AC239" i="13"/>
  <c r="AC238" i="13"/>
  <c r="AC237" i="13"/>
  <c r="AC236" i="13"/>
  <c r="AC235" i="13"/>
  <c r="AC234" i="13"/>
  <c r="AC233" i="13"/>
  <c r="AC232" i="13"/>
  <c r="AC231" i="13"/>
  <c r="AC230" i="13"/>
  <c r="AC229" i="13"/>
  <c r="AC228" i="13"/>
  <c r="V258" i="13"/>
  <c r="AC227" i="13"/>
  <c r="AC226" i="13"/>
  <c r="AC225" i="13"/>
  <c r="Y255" i="13"/>
  <c r="AF254" i="13"/>
  <c r="AG254" i="13" s="1"/>
  <c r="AH254" i="13" s="1"/>
  <c r="AI254" i="13" s="1"/>
  <c r="AJ254" i="13" s="1"/>
  <c r="AK254" i="13" s="1"/>
  <c r="AL254" i="13" s="1"/>
  <c r="AM254" i="13" s="1"/>
  <c r="AN254" i="13" s="1"/>
  <c r="AO254" i="13" s="1"/>
  <c r="AP254" i="13" s="1"/>
  <c r="AQ254" i="13" s="1"/>
  <c r="AR254" i="13" s="1"/>
  <c r="AS254" i="13" s="1"/>
  <c r="AT254" i="13" s="1"/>
  <c r="AU254" i="13" s="1"/>
  <c r="AV254" i="13" s="1"/>
  <c r="AW254" i="13" s="1"/>
  <c r="AX254" i="13" s="1"/>
  <c r="AY254" i="13" s="1"/>
  <c r="AZ254" i="13" s="1"/>
  <c r="BA254" i="13" s="1"/>
  <c r="BB254" i="13" s="1"/>
  <c r="BC254" i="13" s="1"/>
  <c r="BD254" i="13" s="1"/>
  <c r="BE254" i="13" s="1"/>
  <c r="BF254" i="13" s="1"/>
  <c r="BG254" i="13" s="1"/>
  <c r="BH254" i="13" s="1"/>
  <c r="BI254" i="13" s="1"/>
  <c r="BJ254" i="13" s="1"/>
  <c r="BK254" i="13" s="1"/>
  <c r="BL254" i="13" s="1"/>
  <c r="BM254" i="13" s="1"/>
  <c r="BN254" i="13" s="1"/>
  <c r="BO254" i="13" s="1"/>
  <c r="BP254" i="13" s="1"/>
  <c r="BQ254" i="13" s="1"/>
  <c r="BR254" i="13" s="1"/>
  <c r="BS254" i="13" s="1"/>
  <c r="BT254" i="13" s="1"/>
  <c r="BU254" i="13" s="1"/>
  <c r="BV254" i="13" s="1"/>
  <c r="BW254" i="13" s="1"/>
  <c r="BX254" i="13" s="1"/>
  <c r="BY254" i="13" s="1"/>
  <c r="BZ254" i="13" s="1"/>
  <c r="CA254" i="13" s="1"/>
  <c r="CB254" i="13" s="1"/>
  <c r="CC254" i="13" s="1"/>
  <c r="CD254" i="13" s="1"/>
  <c r="CE254" i="13" s="1"/>
  <c r="CF254" i="13" s="1"/>
  <c r="CG254" i="13" s="1"/>
  <c r="CH254" i="13" s="1"/>
  <c r="CI254" i="13" s="1"/>
  <c r="CJ254" i="13" s="1"/>
  <c r="CK254" i="13" s="1"/>
  <c r="CL254" i="13" s="1"/>
  <c r="CM254" i="13" s="1"/>
  <c r="AC224" i="13"/>
  <c r="AC223" i="13"/>
  <c r="AC222" i="13"/>
  <c r="AC221" i="13"/>
  <c r="AC220" i="13"/>
  <c r="AC219" i="13"/>
  <c r="AC218" i="13"/>
  <c r="AC217" i="13"/>
  <c r="AC216" i="13"/>
  <c r="AC215" i="13"/>
  <c r="AC214" i="13"/>
  <c r="AC213" i="13"/>
  <c r="AC212" i="13"/>
  <c r="AC211" i="13"/>
  <c r="AC210" i="13"/>
  <c r="AC209" i="13"/>
  <c r="AC208" i="13"/>
  <c r="AC207" i="13"/>
  <c r="AC206" i="13"/>
  <c r="AC205" i="13"/>
  <c r="AC204" i="13"/>
  <c r="AC203" i="13"/>
  <c r="V233" i="13"/>
  <c r="AC202" i="13"/>
  <c r="AC201" i="13"/>
  <c r="AC200" i="13"/>
  <c r="Y230" i="13"/>
  <c r="V234" i="13" s="1"/>
  <c r="AF229" i="13"/>
  <c r="AG229" i="13" s="1"/>
  <c r="AH229" i="13" s="1"/>
  <c r="AI229" i="13" s="1"/>
  <c r="AJ229" i="13" s="1"/>
  <c r="AK229" i="13" s="1"/>
  <c r="AL229" i="13" s="1"/>
  <c r="AM229" i="13" s="1"/>
  <c r="AN229" i="13" s="1"/>
  <c r="AO229" i="13" s="1"/>
  <c r="AP229" i="13" s="1"/>
  <c r="AQ229" i="13" s="1"/>
  <c r="AR229" i="13" s="1"/>
  <c r="AS229" i="13" s="1"/>
  <c r="AT229" i="13" s="1"/>
  <c r="AU229" i="13" s="1"/>
  <c r="AV229" i="13" s="1"/>
  <c r="AW229" i="13" s="1"/>
  <c r="AX229" i="13" s="1"/>
  <c r="AY229" i="13" s="1"/>
  <c r="AZ229" i="13" s="1"/>
  <c r="BA229" i="13" s="1"/>
  <c r="BB229" i="13" s="1"/>
  <c r="BC229" i="13" s="1"/>
  <c r="BD229" i="13" s="1"/>
  <c r="BE229" i="13" s="1"/>
  <c r="BF229" i="13" s="1"/>
  <c r="BG229" i="13" s="1"/>
  <c r="BH229" i="13" s="1"/>
  <c r="BI229" i="13" s="1"/>
  <c r="BJ229" i="13" s="1"/>
  <c r="BK229" i="13" s="1"/>
  <c r="BL229" i="13" s="1"/>
  <c r="BM229" i="13" s="1"/>
  <c r="BN229" i="13" s="1"/>
  <c r="BO229" i="13" s="1"/>
  <c r="BP229" i="13" s="1"/>
  <c r="BQ229" i="13" s="1"/>
  <c r="BR229" i="13" s="1"/>
  <c r="BS229" i="13" s="1"/>
  <c r="BT229" i="13" s="1"/>
  <c r="BU229" i="13" s="1"/>
  <c r="BV229" i="13" s="1"/>
  <c r="BW229" i="13" s="1"/>
  <c r="BX229" i="13" s="1"/>
  <c r="BY229" i="13" s="1"/>
  <c r="BZ229" i="13" s="1"/>
  <c r="CA229" i="13" s="1"/>
  <c r="CB229" i="13" s="1"/>
  <c r="CC229" i="13" s="1"/>
  <c r="CD229" i="13" s="1"/>
  <c r="CE229" i="13" s="1"/>
  <c r="CF229" i="13" s="1"/>
  <c r="CG229" i="13" s="1"/>
  <c r="CH229" i="13" s="1"/>
  <c r="CI229" i="13" s="1"/>
  <c r="CJ229" i="13" s="1"/>
  <c r="CK229" i="13" s="1"/>
  <c r="CL229" i="13" s="1"/>
  <c r="CM229" i="13" s="1"/>
  <c r="AC199" i="13"/>
  <c r="AC198" i="13"/>
  <c r="AC197" i="13"/>
  <c r="AC196" i="13"/>
  <c r="AC195" i="13"/>
  <c r="AC194" i="13"/>
  <c r="AC193" i="13"/>
  <c r="AC192" i="13"/>
  <c r="AC191" i="13"/>
  <c r="AC190" i="13"/>
  <c r="AC189" i="13"/>
  <c r="AC188" i="13"/>
  <c r="AC187" i="13"/>
  <c r="AC186" i="13"/>
  <c r="AC185" i="13"/>
  <c r="AC184" i="13"/>
  <c r="AC183" i="13"/>
  <c r="AC182" i="13"/>
  <c r="AC181" i="13"/>
  <c r="AC180" i="13"/>
  <c r="AC179" i="13"/>
  <c r="AC178" i="13"/>
  <c r="V183" i="13"/>
  <c r="AC177" i="13"/>
  <c r="AC176" i="13"/>
  <c r="AC175" i="13"/>
  <c r="Y180" i="13"/>
  <c r="V184" i="13" s="1"/>
  <c r="AF179" i="13"/>
  <c r="AG179" i="13" s="1"/>
  <c r="AH179" i="13" s="1"/>
  <c r="AI179" i="13" s="1"/>
  <c r="AJ179" i="13" s="1"/>
  <c r="AK179" i="13" s="1"/>
  <c r="AL179" i="13" s="1"/>
  <c r="AM179" i="13" s="1"/>
  <c r="AN179" i="13" s="1"/>
  <c r="AO179" i="13" s="1"/>
  <c r="AP179" i="13" s="1"/>
  <c r="AQ179" i="13" s="1"/>
  <c r="AR179" i="13" s="1"/>
  <c r="AS179" i="13" s="1"/>
  <c r="AT179" i="13" s="1"/>
  <c r="AU179" i="13" s="1"/>
  <c r="AV179" i="13" s="1"/>
  <c r="AW179" i="13" s="1"/>
  <c r="AX179" i="13" s="1"/>
  <c r="AY179" i="13" s="1"/>
  <c r="AZ179" i="13" s="1"/>
  <c r="BA179" i="13" s="1"/>
  <c r="BB179" i="13" s="1"/>
  <c r="BC179" i="13" s="1"/>
  <c r="BD179" i="13" s="1"/>
  <c r="BE179" i="13" s="1"/>
  <c r="BF179" i="13" s="1"/>
  <c r="BG179" i="13" s="1"/>
  <c r="BH179" i="13" s="1"/>
  <c r="BI179" i="13" s="1"/>
  <c r="BJ179" i="13" s="1"/>
  <c r="BK179" i="13" s="1"/>
  <c r="BL179" i="13" s="1"/>
  <c r="BM179" i="13" s="1"/>
  <c r="BN179" i="13" s="1"/>
  <c r="BO179" i="13" s="1"/>
  <c r="BP179" i="13" s="1"/>
  <c r="BQ179" i="13" s="1"/>
  <c r="BR179" i="13" s="1"/>
  <c r="BS179" i="13" s="1"/>
  <c r="BT179" i="13" s="1"/>
  <c r="BU179" i="13" s="1"/>
  <c r="BV179" i="13" s="1"/>
  <c r="BW179" i="13" s="1"/>
  <c r="BX179" i="13" s="1"/>
  <c r="BY179" i="13" s="1"/>
  <c r="BZ179" i="13" s="1"/>
  <c r="CA179" i="13" s="1"/>
  <c r="CB179" i="13" s="1"/>
  <c r="CC179" i="13" s="1"/>
  <c r="CD179" i="13" s="1"/>
  <c r="CE179" i="13" s="1"/>
  <c r="CF179" i="13" s="1"/>
  <c r="CG179" i="13" s="1"/>
  <c r="CH179" i="13" s="1"/>
  <c r="CI179" i="13" s="1"/>
  <c r="CJ179" i="13" s="1"/>
  <c r="CK179" i="13" s="1"/>
  <c r="CL179" i="13" s="1"/>
  <c r="CM179" i="13" s="1"/>
  <c r="AC174" i="13"/>
  <c r="AC173" i="13"/>
  <c r="AC172" i="13"/>
  <c r="AC171" i="13"/>
  <c r="AC170" i="13"/>
  <c r="AC169" i="13"/>
  <c r="AC168" i="13"/>
  <c r="AC167" i="13"/>
  <c r="AC166" i="13"/>
  <c r="AC165" i="13"/>
  <c r="AC164" i="13"/>
  <c r="AC163" i="13"/>
  <c r="AC162" i="13"/>
  <c r="AC161" i="13"/>
  <c r="AC160" i="13"/>
  <c r="AC159" i="13"/>
  <c r="AC158" i="13"/>
  <c r="AC157" i="13"/>
  <c r="AC156" i="13"/>
  <c r="AC155" i="13"/>
  <c r="AC154" i="13"/>
  <c r="AC153" i="13"/>
  <c r="V158" i="13"/>
  <c r="AC152" i="13"/>
  <c r="AC151" i="13"/>
  <c r="AC150" i="13"/>
  <c r="Y155" i="13"/>
  <c r="AF154" i="13"/>
  <c r="AG154" i="13" s="1"/>
  <c r="AH154" i="13" s="1"/>
  <c r="AI154" i="13" s="1"/>
  <c r="AJ154" i="13" s="1"/>
  <c r="AK154" i="13" s="1"/>
  <c r="AL154" i="13" s="1"/>
  <c r="AM154" i="13" s="1"/>
  <c r="AN154" i="13" s="1"/>
  <c r="AO154" i="13" s="1"/>
  <c r="AP154" i="13" s="1"/>
  <c r="AQ154" i="13" s="1"/>
  <c r="AR154" i="13" s="1"/>
  <c r="AS154" i="13" s="1"/>
  <c r="AT154" i="13" s="1"/>
  <c r="AU154" i="13" s="1"/>
  <c r="AV154" i="13" s="1"/>
  <c r="AW154" i="13" s="1"/>
  <c r="AX154" i="13" s="1"/>
  <c r="AY154" i="13" s="1"/>
  <c r="AZ154" i="13" s="1"/>
  <c r="BA154" i="13" s="1"/>
  <c r="BB154" i="13" s="1"/>
  <c r="BC154" i="13" s="1"/>
  <c r="BD154" i="13" s="1"/>
  <c r="BE154" i="13" s="1"/>
  <c r="BF154" i="13" s="1"/>
  <c r="BG154" i="13" s="1"/>
  <c r="BH154" i="13" s="1"/>
  <c r="BI154" i="13" s="1"/>
  <c r="BJ154" i="13" s="1"/>
  <c r="BK154" i="13" s="1"/>
  <c r="BL154" i="13" s="1"/>
  <c r="BM154" i="13" s="1"/>
  <c r="BN154" i="13" s="1"/>
  <c r="BO154" i="13" s="1"/>
  <c r="BP154" i="13" s="1"/>
  <c r="BQ154" i="13" s="1"/>
  <c r="BR154" i="13" s="1"/>
  <c r="BS154" i="13" s="1"/>
  <c r="BT154" i="13" s="1"/>
  <c r="BU154" i="13" s="1"/>
  <c r="BV154" i="13" s="1"/>
  <c r="BW154" i="13" s="1"/>
  <c r="BX154" i="13" s="1"/>
  <c r="BY154" i="13" s="1"/>
  <c r="BZ154" i="13" s="1"/>
  <c r="CA154" i="13" s="1"/>
  <c r="CB154" i="13" s="1"/>
  <c r="CC154" i="13" s="1"/>
  <c r="CD154" i="13" s="1"/>
  <c r="CE154" i="13" s="1"/>
  <c r="CF154" i="13" s="1"/>
  <c r="CG154" i="13" s="1"/>
  <c r="CH154" i="13" s="1"/>
  <c r="CI154" i="13" s="1"/>
  <c r="CJ154" i="13" s="1"/>
  <c r="CK154" i="13" s="1"/>
  <c r="CL154" i="13" s="1"/>
  <c r="CM154" i="13" s="1"/>
  <c r="AC149" i="13"/>
  <c r="AC148" i="13"/>
  <c r="AC147" i="13"/>
  <c r="AC146" i="13"/>
  <c r="AC145" i="13"/>
  <c r="AC144" i="13"/>
  <c r="AC143" i="13"/>
  <c r="AC142" i="13"/>
  <c r="AC141" i="13"/>
  <c r="AC140" i="13"/>
  <c r="AC139" i="13"/>
  <c r="AC138" i="13"/>
  <c r="AC137" i="13"/>
  <c r="AC136" i="13"/>
  <c r="AC135" i="13"/>
  <c r="AC134" i="13"/>
  <c r="AC133" i="13"/>
  <c r="AC132" i="13"/>
  <c r="AC131" i="13"/>
  <c r="AC130" i="13"/>
  <c r="AC129" i="13"/>
  <c r="AC128" i="13"/>
  <c r="V133" i="13"/>
  <c r="AC127" i="13"/>
  <c r="AC126" i="13"/>
  <c r="AC125" i="13"/>
  <c r="Y130" i="13"/>
  <c r="AE130" i="13" s="1"/>
  <c r="AF130" i="13" s="1"/>
  <c r="AG130" i="13" s="1"/>
  <c r="AH130" i="13" s="1"/>
  <c r="AI130" i="13" s="1"/>
  <c r="AJ130" i="13" s="1"/>
  <c r="AK130" i="13" s="1"/>
  <c r="AL130" i="13" s="1"/>
  <c r="AM130" i="13" s="1"/>
  <c r="AN130" i="13" s="1"/>
  <c r="AO130" i="13" s="1"/>
  <c r="AP130" i="13" s="1"/>
  <c r="AQ130" i="13" s="1"/>
  <c r="AR130" i="13" s="1"/>
  <c r="AS130" i="13" s="1"/>
  <c r="AT130" i="13" s="1"/>
  <c r="AU130" i="13" s="1"/>
  <c r="AV130" i="13" s="1"/>
  <c r="AW130" i="13" s="1"/>
  <c r="AX130" i="13" s="1"/>
  <c r="AY130" i="13" s="1"/>
  <c r="AZ130" i="13" s="1"/>
  <c r="BA130" i="13" s="1"/>
  <c r="BB130" i="13" s="1"/>
  <c r="BC130" i="13" s="1"/>
  <c r="BD130" i="13" s="1"/>
  <c r="BE130" i="13" s="1"/>
  <c r="BF130" i="13" s="1"/>
  <c r="BG130" i="13" s="1"/>
  <c r="BH130" i="13" s="1"/>
  <c r="BI130" i="13" s="1"/>
  <c r="BJ130" i="13" s="1"/>
  <c r="BK130" i="13" s="1"/>
  <c r="BL130" i="13" s="1"/>
  <c r="BM130" i="13" s="1"/>
  <c r="BN130" i="13" s="1"/>
  <c r="BO130" i="13" s="1"/>
  <c r="BP130" i="13" s="1"/>
  <c r="BQ130" i="13" s="1"/>
  <c r="BR130" i="13" s="1"/>
  <c r="BS130" i="13" s="1"/>
  <c r="BT130" i="13" s="1"/>
  <c r="BU130" i="13" s="1"/>
  <c r="BV130" i="13" s="1"/>
  <c r="BW130" i="13" s="1"/>
  <c r="BX130" i="13" s="1"/>
  <c r="BY130" i="13" s="1"/>
  <c r="BZ130" i="13" s="1"/>
  <c r="CA130" i="13" s="1"/>
  <c r="CB130" i="13" s="1"/>
  <c r="CC130" i="13" s="1"/>
  <c r="CD130" i="13" s="1"/>
  <c r="CE130" i="13" s="1"/>
  <c r="CF130" i="13" s="1"/>
  <c r="CG130" i="13" s="1"/>
  <c r="CH130" i="13" s="1"/>
  <c r="CI130" i="13" s="1"/>
  <c r="CJ130" i="13" s="1"/>
  <c r="CK130" i="13" s="1"/>
  <c r="CL130" i="13" s="1"/>
  <c r="CM130" i="13" s="1"/>
  <c r="AF129" i="13"/>
  <c r="AG129" i="13" s="1"/>
  <c r="AH129" i="13" s="1"/>
  <c r="AI129" i="13" s="1"/>
  <c r="AJ129" i="13" s="1"/>
  <c r="AK129" i="13" s="1"/>
  <c r="AL129" i="13" s="1"/>
  <c r="AM129" i="13" s="1"/>
  <c r="AN129" i="13" s="1"/>
  <c r="AO129" i="13" s="1"/>
  <c r="AP129" i="13" s="1"/>
  <c r="AQ129" i="13" s="1"/>
  <c r="AR129" i="13" s="1"/>
  <c r="AS129" i="13" s="1"/>
  <c r="AT129" i="13" s="1"/>
  <c r="AU129" i="13" s="1"/>
  <c r="AV129" i="13" s="1"/>
  <c r="AW129" i="13" s="1"/>
  <c r="AX129" i="13" s="1"/>
  <c r="AY129" i="13" s="1"/>
  <c r="AZ129" i="13" s="1"/>
  <c r="BA129" i="13" s="1"/>
  <c r="BB129" i="13" s="1"/>
  <c r="BC129" i="13" s="1"/>
  <c r="BD129" i="13" s="1"/>
  <c r="BE129" i="13" s="1"/>
  <c r="BF129" i="13" s="1"/>
  <c r="BG129" i="13" s="1"/>
  <c r="BH129" i="13" s="1"/>
  <c r="BI129" i="13" s="1"/>
  <c r="BJ129" i="13" s="1"/>
  <c r="BK129" i="13" s="1"/>
  <c r="BL129" i="13" s="1"/>
  <c r="BM129" i="13" s="1"/>
  <c r="BN129" i="13" s="1"/>
  <c r="BO129" i="13" s="1"/>
  <c r="BP129" i="13" s="1"/>
  <c r="BQ129" i="13" s="1"/>
  <c r="BR129" i="13" s="1"/>
  <c r="BS129" i="13" s="1"/>
  <c r="BT129" i="13" s="1"/>
  <c r="BU129" i="13" s="1"/>
  <c r="BV129" i="13" s="1"/>
  <c r="BW129" i="13" s="1"/>
  <c r="BX129" i="13" s="1"/>
  <c r="BY129" i="13" s="1"/>
  <c r="BZ129" i="13" s="1"/>
  <c r="CA129" i="13" s="1"/>
  <c r="CB129" i="13" s="1"/>
  <c r="CC129" i="13" s="1"/>
  <c r="CD129" i="13" s="1"/>
  <c r="CE129" i="13" s="1"/>
  <c r="CF129" i="13" s="1"/>
  <c r="CG129" i="13" s="1"/>
  <c r="CH129" i="13" s="1"/>
  <c r="CI129" i="13" s="1"/>
  <c r="CJ129" i="13" s="1"/>
  <c r="CK129" i="13" s="1"/>
  <c r="CL129" i="13" s="1"/>
  <c r="CM129" i="13" s="1"/>
  <c r="AC124" i="13"/>
  <c r="AC123" i="13"/>
  <c r="AC122" i="13"/>
  <c r="AC121" i="13"/>
  <c r="AC120" i="13"/>
  <c r="AC119" i="13"/>
  <c r="AC118" i="13"/>
  <c r="AC117" i="13"/>
  <c r="AC116" i="13"/>
  <c r="AC115" i="13"/>
  <c r="AC114" i="13"/>
  <c r="AC113" i="13"/>
  <c r="AC112" i="13"/>
  <c r="AC111" i="13"/>
  <c r="AC110" i="13"/>
  <c r="AC109" i="13"/>
  <c r="AC108" i="13"/>
  <c r="AC107" i="13"/>
  <c r="AC106" i="13"/>
  <c r="AC105" i="13"/>
  <c r="AC104" i="13"/>
  <c r="AC103" i="13"/>
  <c r="V108" i="13"/>
  <c r="AC102" i="13"/>
  <c r="AC101" i="13"/>
  <c r="AC100" i="13"/>
  <c r="Y105" i="13"/>
  <c r="AE105" i="13" s="1"/>
  <c r="AF105" i="13" s="1"/>
  <c r="AG105" i="13" s="1"/>
  <c r="AH105" i="13" s="1"/>
  <c r="AI105" i="13" s="1"/>
  <c r="AJ105" i="13" s="1"/>
  <c r="AK105" i="13" s="1"/>
  <c r="AL105" i="13" s="1"/>
  <c r="AM105" i="13" s="1"/>
  <c r="AN105" i="13" s="1"/>
  <c r="AO105" i="13" s="1"/>
  <c r="AP105" i="13" s="1"/>
  <c r="AQ105" i="13" s="1"/>
  <c r="AR105" i="13" s="1"/>
  <c r="AS105" i="13" s="1"/>
  <c r="AT105" i="13" s="1"/>
  <c r="AU105" i="13" s="1"/>
  <c r="AV105" i="13" s="1"/>
  <c r="AW105" i="13" s="1"/>
  <c r="AX105" i="13" s="1"/>
  <c r="AY105" i="13" s="1"/>
  <c r="AZ105" i="13" s="1"/>
  <c r="BA105" i="13" s="1"/>
  <c r="BB105" i="13" s="1"/>
  <c r="BC105" i="13" s="1"/>
  <c r="BD105" i="13" s="1"/>
  <c r="BE105" i="13" s="1"/>
  <c r="BF105" i="13" s="1"/>
  <c r="BG105" i="13" s="1"/>
  <c r="BH105" i="13" s="1"/>
  <c r="BI105" i="13" s="1"/>
  <c r="BJ105" i="13" s="1"/>
  <c r="BK105" i="13" s="1"/>
  <c r="BL105" i="13" s="1"/>
  <c r="BM105" i="13" s="1"/>
  <c r="BN105" i="13" s="1"/>
  <c r="BO105" i="13" s="1"/>
  <c r="BP105" i="13" s="1"/>
  <c r="BQ105" i="13" s="1"/>
  <c r="BR105" i="13" s="1"/>
  <c r="BS105" i="13" s="1"/>
  <c r="BT105" i="13" s="1"/>
  <c r="BU105" i="13" s="1"/>
  <c r="BV105" i="13" s="1"/>
  <c r="BW105" i="13" s="1"/>
  <c r="BX105" i="13" s="1"/>
  <c r="BY105" i="13" s="1"/>
  <c r="BZ105" i="13" s="1"/>
  <c r="CA105" i="13" s="1"/>
  <c r="CB105" i="13" s="1"/>
  <c r="CC105" i="13" s="1"/>
  <c r="CD105" i="13" s="1"/>
  <c r="CE105" i="13" s="1"/>
  <c r="CF105" i="13" s="1"/>
  <c r="CG105" i="13" s="1"/>
  <c r="CH105" i="13" s="1"/>
  <c r="CI105" i="13" s="1"/>
  <c r="CJ105" i="13" s="1"/>
  <c r="CK105" i="13" s="1"/>
  <c r="CL105" i="13" s="1"/>
  <c r="CM105" i="13" s="1"/>
  <c r="AF104" i="13"/>
  <c r="AG104" i="13" s="1"/>
  <c r="AH104" i="13" s="1"/>
  <c r="AI104" i="13" s="1"/>
  <c r="AJ104" i="13" s="1"/>
  <c r="AK104" i="13" s="1"/>
  <c r="AL104" i="13" s="1"/>
  <c r="AM104" i="13" s="1"/>
  <c r="AN104" i="13" s="1"/>
  <c r="AO104" i="13" s="1"/>
  <c r="AP104" i="13" s="1"/>
  <c r="AQ104" i="13" s="1"/>
  <c r="AR104" i="13" s="1"/>
  <c r="AS104" i="13" s="1"/>
  <c r="AT104" i="13" s="1"/>
  <c r="AU104" i="13" s="1"/>
  <c r="AV104" i="13" s="1"/>
  <c r="AW104" i="13" s="1"/>
  <c r="AX104" i="13" s="1"/>
  <c r="AY104" i="13" s="1"/>
  <c r="AZ104" i="13" s="1"/>
  <c r="BA104" i="13" s="1"/>
  <c r="BB104" i="13" s="1"/>
  <c r="BC104" i="13" s="1"/>
  <c r="BD104" i="13" s="1"/>
  <c r="BE104" i="13" s="1"/>
  <c r="BF104" i="13" s="1"/>
  <c r="BG104" i="13" s="1"/>
  <c r="BH104" i="13" s="1"/>
  <c r="BI104" i="13" s="1"/>
  <c r="BJ104" i="13" s="1"/>
  <c r="BK104" i="13" s="1"/>
  <c r="BL104" i="13" s="1"/>
  <c r="BM104" i="13" s="1"/>
  <c r="BN104" i="13" s="1"/>
  <c r="BO104" i="13" s="1"/>
  <c r="BP104" i="13" s="1"/>
  <c r="BQ104" i="13" s="1"/>
  <c r="BR104" i="13" s="1"/>
  <c r="BS104" i="13" s="1"/>
  <c r="BT104" i="13" s="1"/>
  <c r="BU104" i="13" s="1"/>
  <c r="BV104" i="13" s="1"/>
  <c r="BW104" i="13" s="1"/>
  <c r="BX104" i="13" s="1"/>
  <c r="BY104" i="13" s="1"/>
  <c r="BZ104" i="13" s="1"/>
  <c r="CA104" i="13" s="1"/>
  <c r="CB104" i="13" s="1"/>
  <c r="CC104" i="13" s="1"/>
  <c r="CD104" i="13" s="1"/>
  <c r="CE104" i="13" s="1"/>
  <c r="CF104" i="13" s="1"/>
  <c r="CG104" i="13" s="1"/>
  <c r="CH104" i="13" s="1"/>
  <c r="CI104" i="13" s="1"/>
  <c r="CJ104" i="13" s="1"/>
  <c r="CK104" i="13" s="1"/>
  <c r="CL104" i="13" s="1"/>
  <c r="CM104" i="13" s="1"/>
  <c r="AC99" i="13"/>
  <c r="AC98" i="13"/>
  <c r="AC97" i="13"/>
  <c r="AC96" i="13"/>
  <c r="AC95" i="13"/>
  <c r="AC94" i="13"/>
  <c r="AC93" i="13"/>
  <c r="AC92" i="13"/>
  <c r="AC91" i="13"/>
  <c r="AC90" i="13"/>
  <c r="AC89" i="13"/>
  <c r="AC88" i="13"/>
  <c r="AC87" i="13"/>
  <c r="AC86" i="13"/>
  <c r="AC85" i="13"/>
  <c r="AC84" i="13"/>
  <c r="AC83" i="13"/>
  <c r="AC82" i="13"/>
  <c r="AC81" i="13"/>
  <c r="AC80" i="13"/>
  <c r="AC79" i="13"/>
  <c r="AC78" i="13"/>
  <c r="V83" i="13"/>
  <c r="AC77" i="13"/>
  <c r="AC76" i="13"/>
  <c r="AC75" i="13"/>
  <c r="Y80" i="13"/>
  <c r="V84" i="13" s="1"/>
  <c r="AF79" i="13"/>
  <c r="AG79" i="13" s="1"/>
  <c r="AH79" i="13" s="1"/>
  <c r="AI79" i="13" s="1"/>
  <c r="AJ79" i="13" s="1"/>
  <c r="AK79" i="13" s="1"/>
  <c r="AL79" i="13" s="1"/>
  <c r="AM79" i="13" s="1"/>
  <c r="AN79" i="13" s="1"/>
  <c r="AO79" i="13" s="1"/>
  <c r="AP79" i="13" s="1"/>
  <c r="AQ79" i="13" s="1"/>
  <c r="AR79" i="13" s="1"/>
  <c r="AS79" i="13" s="1"/>
  <c r="AT79" i="13" s="1"/>
  <c r="AU79" i="13" s="1"/>
  <c r="AV79" i="13" s="1"/>
  <c r="AW79" i="13" s="1"/>
  <c r="AX79" i="13" s="1"/>
  <c r="AY79" i="13" s="1"/>
  <c r="AZ79" i="13" s="1"/>
  <c r="BA79" i="13" s="1"/>
  <c r="BB79" i="13" s="1"/>
  <c r="BC79" i="13" s="1"/>
  <c r="BD79" i="13" s="1"/>
  <c r="BE79" i="13" s="1"/>
  <c r="BF79" i="13" s="1"/>
  <c r="BG79" i="13" s="1"/>
  <c r="BH79" i="13" s="1"/>
  <c r="BI79" i="13" s="1"/>
  <c r="BJ79" i="13" s="1"/>
  <c r="BK79" i="13" s="1"/>
  <c r="BL79" i="13" s="1"/>
  <c r="BM79" i="13" s="1"/>
  <c r="BN79" i="13" s="1"/>
  <c r="BO79" i="13" s="1"/>
  <c r="BP79" i="13" s="1"/>
  <c r="BQ79" i="13" s="1"/>
  <c r="BR79" i="13" s="1"/>
  <c r="BS79" i="13" s="1"/>
  <c r="BT79" i="13" s="1"/>
  <c r="BU79" i="13" s="1"/>
  <c r="BV79" i="13" s="1"/>
  <c r="BW79" i="13" s="1"/>
  <c r="BX79" i="13" s="1"/>
  <c r="BY79" i="13" s="1"/>
  <c r="BZ79" i="13" s="1"/>
  <c r="CA79" i="13" s="1"/>
  <c r="CB79" i="13" s="1"/>
  <c r="CC79" i="13" s="1"/>
  <c r="CD79" i="13" s="1"/>
  <c r="CE79" i="13" s="1"/>
  <c r="CF79" i="13" s="1"/>
  <c r="CG79" i="13" s="1"/>
  <c r="CH79" i="13" s="1"/>
  <c r="CI79" i="13" s="1"/>
  <c r="CJ79" i="13" s="1"/>
  <c r="CK79" i="13" s="1"/>
  <c r="CL79" i="13" s="1"/>
  <c r="CM79" i="13" s="1"/>
  <c r="AC74" i="13"/>
  <c r="AC73" i="13"/>
  <c r="AC72" i="13"/>
  <c r="AC71" i="13"/>
  <c r="AC70" i="13"/>
  <c r="AC69" i="13"/>
  <c r="AC68" i="13"/>
  <c r="AC67" i="13"/>
  <c r="AC66" i="13"/>
  <c r="AC65" i="13"/>
  <c r="AC64" i="13"/>
  <c r="AC63" i="13"/>
  <c r="AC62" i="13"/>
  <c r="AC61" i="13"/>
  <c r="AC60" i="13"/>
  <c r="AC59" i="13"/>
  <c r="AC58" i="13"/>
  <c r="AC57" i="13"/>
  <c r="AC56" i="13"/>
  <c r="AC55" i="13"/>
  <c r="AC54" i="13"/>
  <c r="AC53" i="13"/>
  <c r="V58" i="13"/>
  <c r="AC52" i="13"/>
  <c r="AC51" i="13"/>
  <c r="AC50" i="13"/>
  <c r="Y55" i="13"/>
  <c r="AE55" i="13" s="1"/>
  <c r="AF55" i="13" s="1"/>
  <c r="AG55" i="13" s="1"/>
  <c r="AH55" i="13" s="1"/>
  <c r="AI55" i="13" s="1"/>
  <c r="AJ55" i="13" s="1"/>
  <c r="AK55" i="13" s="1"/>
  <c r="AL55" i="13" s="1"/>
  <c r="AM55" i="13" s="1"/>
  <c r="AN55" i="13" s="1"/>
  <c r="AO55" i="13" s="1"/>
  <c r="AP55" i="13" s="1"/>
  <c r="AQ55" i="13" s="1"/>
  <c r="AR55" i="13" s="1"/>
  <c r="AS55" i="13" s="1"/>
  <c r="AT55" i="13" s="1"/>
  <c r="AU55" i="13" s="1"/>
  <c r="AV55" i="13" s="1"/>
  <c r="AW55" i="13" s="1"/>
  <c r="AX55" i="13" s="1"/>
  <c r="AY55" i="13" s="1"/>
  <c r="AZ55" i="13" s="1"/>
  <c r="BA55" i="13" s="1"/>
  <c r="BB55" i="13" s="1"/>
  <c r="BC55" i="13" s="1"/>
  <c r="BD55" i="13" s="1"/>
  <c r="BE55" i="13" s="1"/>
  <c r="BF55" i="13" s="1"/>
  <c r="BG55" i="13" s="1"/>
  <c r="BH55" i="13" s="1"/>
  <c r="BI55" i="13" s="1"/>
  <c r="BJ55" i="13" s="1"/>
  <c r="BK55" i="13" s="1"/>
  <c r="BL55" i="13" s="1"/>
  <c r="BM55" i="13" s="1"/>
  <c r="BN55" i="13" s="1"/>
  <c r="BO55" i="13" s="1"/>
  <c r="BP55" i="13" s="1"/>
  <c r="BQ55" i="13" s="1"/>
  <c r="BR55" i="13" s="1"/>
  <c r="BS55" i="13" s="1"/>
  <c r="BT55" i="13" s="1"/>
  <c r="BU55" i="13" s="1"/>
  <c r="BV55" i="13" s="1"/>
  <c r="BW55" i="13" s="1"/>
  <c r="BX55" i="13" s="1"/>
  <c r="BY55" i="13" s="1"/>
  <c r="BZ55" i="13" s="1"/>
  <c r="CA55" i="13" s="1"/>
  <c r="CB55" i="13" s="1"/>
  <c r="CC55" i="13" s="1"/>
  <c r="CD55" i="13" s="1"/>
  <c r="CE55" i="13" s="1"/>
  <c r="CF55" i="13" s="1"/>
  <c r="CG55" i="13" s="1"/>
  <c r="CH55" i="13" s="1"/>
  <c r="CI55" i="13" s="1"/>
  <c r="CJ55" i="13" s="1"/>
  <c r="CK55" i="13" s="1"/>
  <c r="CL55" i="13" s="1"/>
  <c r="CM55" i="13" s="1"/>
  <c r="AF54" i="13"/>
  <c r="AG54" i="13" s="1"/>
  <c r="AH54" i="13" s="1"/>
  <c r="AI54" i="13" s="1"/>
  <c r="AJ54" i="13" s="1"/>
  <c r="AK54" i="13" s="1"/>
  <c r="AL54" i="13" s="1"/>
  <c r="AM54" i="13" s="1"/>
  <c r="AN54" i="13" s="1"/>
  <c r="AO54" i="13" s="1"/>
  <c r="AP54" i="13" s="1"/>
  <c r="AQ54" i="13" s="1"/>
  <c r="AR54" i="13" s="1"/>
  <c r="AS54" i="13" s="1"/>
  <c r="AT54" i="13" s="1"/>
  <c r="AU54" i="13" s="1"/>
  <c r="AV54" i="13" s="1"/>
  <c r="AW54" i="13" s="1"/>
  <c r="AX54" i="13" s="1"/>
  <c r="AY54" i="13" s="1"/>
  <c r="AZ54" i="13" s="1"/>
  <c r="BA54" i="13" s="1"/>
  <c r="BB54" i="13" s="1"/>
  <c r="BC54" i="13" s="1"/>
  <c r="BD54" i="13" s="1"/>
  <c r="BE54" i="13" s="1"/>
  <c r="BF54" i="13" s="1"/>
  <c r="BG54" i="13" s="1"/>
  <c r="BH54" i="13" s="1"/>
  <c r="BI54" i="13" s="1"/>
  <c r="BJ54" i="13" s="1"/>
  <c r="BK54" i="13" s="1"/>
  <c r="BL54" i="13" s="1"/>
  <c r="BM54" i="13" s="1"/>
  <c r="BN54" i="13" s="1"/>
  <c r="BO54" i="13" s="1"/>
  <c r="BP54" i="13" s="1"/>
  <c r="BQ54" i="13" s="1"/>
  <c r="BR54" i="13" s="1"/>
  <c r="BS54" i="13" s="1"/>
  <c r="BT54" i="13" s="1"/>
  <c r="BU54" i="13" s="1"/>
  <c r="BV54" i="13" s="1"/>
  <c r="BW54" i="13" s="1"/>
  <c r="BX54" i="13" s="1"/>
  <c r="BY54" i="13" s="1"/>
  <c r="BZ54" i="13" s="1"/>
  <c r="CA54" i="13" s="1"/>
  <c r="CB54" i="13" s="1"/>
  <c r="CC54" i="13" s="1"/>
  <c r="CD54" i="13" s="1"/>
  <c r="CE54" i="13" s="1"/>
  <c r="CF54" i="13" s="1"/>
  <c r="CG54" i="13" s="1"/>
  <c r="CH54" i="13" s="1"/>
  <c r="CI54" i="13" s="1"/>
  <c r="CJ54" i="13" s="1"/>
  <c r="CK54" i="13" s="1"/>
  <c r="CL54" i="13" s="1"/>
  <c r="CM54" i="13" s="1"/>
  <c r="AC49" i="13"/>
  <c r="AC48" i="13"/>
  <c r="AC47" i="13"/>
  <c r="AC46" i="13"/>
  <c r="AC45" i="13"/>
  <c r="AC44" i="13"/>
  <c r="AC43" i="13"/>
  <c r="AC42" i="13"/>
  <c r="AN46" i="13"/>
  <c r="AC41" i="13"/>
  <c r="AC40" i="13"/>
  <c r="AC39" i="13"/>
  <c r="AC38" i="13"/>
  <c r="AC37" i="13"/>
  <c r="AC36" i="13"/>
  <c r="AC35" i="13"/>
  <c r="AC34" i="13"/>
  <c r="AC33" i="13"/>
  <c r="AC32" i="13"/>
  <c r="AC31" i="13"/>
  <c r="AC30" i="13"/>
  <c r="AC29" i="13"/>
  <c r="AC28" i="13"/>
  <c r="AC27" i="13"/>
  <c r="AC26" i="13"/>
  <c r="AC25" i="13"/>
  <c r="AC24" i="13"/>
  <c r="AC23" i="13"/>
  <c r="AC22" i="13"/>
  <c r="AC21" i="13"/>
  <c r="AC20" i="13"/>
  <c r="AC19" i="13"/>
  <c r="AC18" i="13"/>
  <c r="AC17" i="13"/>
  <c r="AC16" i="13"/>
  <c r="AC15" i="13"/>
  <c r="AC14" i="13"/>
  <c r="AC13" i="13"/>
  <c r="AC12" i="13"/>
  <c r="AC11" i="13"/>
  <c r="AC10" i="13"/>
  <c r="AC9" i="13"/>
  <c r="AC8" i="13"/>
  <c r="AC7" i="13"/>
  <c r="AC6" i="13"/>
  <c r="AC5" i="13"/>
  <c r="AE80" i="13"/>
  <c r="AF80" i="13" s="1"/>
  <c r="AG80" i="13" s="1"/>
  <c r="AH80" i="13" s="1"/>
  <c r="AI80" i="13" s="1"/>
  <c r="AJ80" i="13" s="1"/>
  <c r="AK80" i="13" s="1"/>
  <c r="AL80" i="13" s="1"/>
  <c r="AM80" i="13" s="1"/>
  <c r="AN80" i="13" s="1"/>
  <c r="AO80" i="13" s="1"/>
  <c r="AP80" i="13" s="1"/>
  <c r="AQ80" i="13" s="1"/>
  <c r="AR80" i="13" s="1"/>
  <c r="AS80" i="13" s="1"/>
  <c r="AT80" i="13" s="1"/>
  <c r="AU80" i="13" s="1"/>
  <c r="AV80" i="13" s="1"/>
  <c r="AW80" i="13" s="1"/>
  <c r="AX80" i="13" s="1"/>
  <c r="AY80" i="13" s="1"/>
  <c r="AZ80" i="13" s="1"/>
  <c r="BA80" i="13" s="1"/>
  <c r="BB80" i="13" s="1"/>
  <c r="BC80" i="13" s="1"/>
  <c r="BD80" i="13" s="1"/>
  <c r="BE80" i="13" s="1"/>
  <c r="BF80" i="13" s="1"/>
  <c r="BG80" i="13" s="1"/>
  <c r="BH80" i="13" s="1"/>
  <c r="BI80" i="13" s="1"/>
  <c r="BJ80" i="13" s="1"/>
  <c r="BK80" i="13" s="1"/>
  <c r="BL80" i="13" s="1"/>
  <c r="BM80" i="13" s="1"/>
  <c r="BN80" i="13" s="1"/>
  <c r="BO80" i="13" s="1"/>
  <c r="BP80" i="13" s="1"/>
  <c r="BQ80" i="13" s="1"/>
  <c r="BR80" i="13" s="1"/>
  <c r="BS80" i="13" s="1"/>
  <c r="BT80" i="13" s="1"/>
  <c r="BU80" i="13" s="1"/>
  <c r="BV80" i="13" s="1"/>
  <c r="BW80" i="13" s="1"/>
  <c r="BX80" i="13" s="1"/>
  <c r="BY80" i="13" s="1"/>
  <c r="BZ80" i="13" s="1"/>
  <c r="CA80" i="13" s="1"/>
  <c r="CB80" i="13" s="1"/>
  <c r="CC80" i="13" s="1"/>
  <c r="CD80" i="13" s="1"/>
  <c r="CE80" i="13" s="1"/>
  <c r="CF80" i="13" s="1"/>
  <c r="CG80" i="13" s="1"/>
  <c r="CH80" i="13" s="1"/>
  <c r="CI80" i="13" s="1"/>
  <c r="CJ80" i="13" s="1"/>
  <c r="CK80" i="13" s="1"/>
  <c r="CL80" i="13" s="1"/>
  <c r="CM80" i="13" s="1"/>
  <c r="AA376" i="23" l="1"/>
  <c r="T51" i="19"/>
  <c r="AJ17" i="20"/>
  <c r="AJ18" i="20" s="1"/>
  <c r="Q51" i="19" s="1"/>
  <c r="K53" i="15"/>
  <c r="X53" i="15" s="1"/>
  <c r="K37" i="15"/>
  <c r="X37" i="15" s="1"/>
  <c r="K79" i="15"/>
  <c r="X79" i="15" s="1"/>
  <c r="K24" i="15"/>
  <c r="X24" i="15" s="1"/>
  <c r="K66" i="15"/>
  <c r="X66" i="15" s="1"/>
  <c r="K11" i="15"/>
  <c r="X11" i="15" s="1"/>
  <c r="J37" i="15"/>
  <c r="W37" i="15" s="1"/>
  <c r="J11" i="15"/>
  <c r="W11" i="15" s="1"/>
  <c r="J79" i="15"/>
  <c r="W79" i="15" s="1"/>
  <c r="J66" i="15"/>
  <c r="W66" i="15" s="1"/>
  <c r="J53" i="15"/>
  <c r="W53" i="15" s="1"/>
  <c r="J24" i="15"/>
  <c r="W24" i="15" s="1"/>
  <c r="AD2885" i="13"/>
  <c r="AD2884" i="13"/>
  <c r="V26" i="15"/>
  <c r="V81" i="15"/>
  <c r="W55" i="15"/>
  <c r="X39" i="15"/>
  <c r="X68" i="15"/>
  <c r="U68" i="15"/>
  <c r="V39" i="15"/>
  <c r="W68" i="15"/>
  <c r="T26" i="15"/>
  <c r="T55" i="15"/>
  <c r="T81" i="15"/>
  <c r="U26" i="15"/>
  <c r="U81" i="15"/>
  <c r="V55" i="15"/>
  <c r="W26" i="15"/>
  <c r="W81" i="15"/>
  <c r="X26" i="15"/>
  <c r="X55" i="15"/>
  <c r="X81" i="15"/>
  <c r="U39" i="15"/>
  <c r="V68" i="15"/>
  <c r="W39" i="15"/>
  <c r="T39" i="15"/>
  <c r="T68" i="15"/>
  <c r="U55" i="15"/>
  <c r="I11" i="15"/>
  <c r="V11" i="15" s="1"/>
  <c r="I24" i="15"/>
  <c r="V24" i="15" s="1"/>
  <c r="I37" i="15"/>
  <c r="V37" i="15" s="1"/>
  <c r="I79" i="15"/>
  <c r="V79" i="15" s="1"/>
  <c r="I66" i="15"/>
  <c r="V66" i="15" s="1"/>
  <c r="I53" i="15"/>
  <c r="V53" i="15" s="1"/>
  <c r="AD3870" i="13"/>
  <c r="AD3871" i="13"/>
  <c r="AD3951" i="13"/>
  <c r="AD3950" i="13"/>
  <c r="AD4331" i="13"/>
  <c r="AD4330" i="13"/>
  <c r="G66" i="15"/>
  <c r="T66" i="15" s="1"/>
  <c r="G53" i="15"/>
  <c r="T53" i="15" s="1"/>
  <c r="G37" i="15"/>
  <c r="T37" i="15" s="1"/>
  <c r="T11" i="15"/>
  <c r="G79" i="15"/>
  <c r="T79" i="15" s="1"/>
  <c r="T24" i="15"/>
  <c r="H79" i="15"/>
  <c r="U79" i="15" s="1"/>
  <c r="H53" i="15"/>
  <c r="U53" i="15" s="1"/>
  <c r="H24" i="15"/>
  <c r="U24" i="15" s="1"/>
  <c r="H11" i="15"/>
  <c r="U11" i="15" s="1"/>
  <c r="H66" i="15"/>
  <c r="U66" i="15" s="1"/>
  <c r="H37" i="15"/>
  <c r="U37" i="15" s="1"/>
  <c r="Q368" i="13"/>
  <c r="Q369" i="13" s="1"/>
  <c r="R381" i="13"/>
  <c r="O381" i="13"/>
  <c r="P381" i="13"/>
  <c r="N381" i="13"/>
  <c r="Q381" i="13"/>
  <c r="V13" i="15"/>
  <c r="W13" i="15"/>
  <c r="X13" i="15"/>
  <c r="T13" i="15"/>
  <c r="U13" i="15"/>
  <c r="V134" i="13"/>
  <c r="P368" i="13"/>
  <c r="P369" i="13" s="1"/>
  <c r="O368" i="13"/>
  <c r="O369" i="13" s="1"/>
  <c r="N394" i="13"/>
  <c r="N395" i="13" s="1"/>
  <c r="V109" i="13"/>
  <c r="V59" i="13"/>
  <c r="AE180" i="13"/>
  <c r="AF180" i="13" s="1"/>
  <c r="AG180" i="13" s="1"/>
  <c r="AH180" i="13" s="1"/>
  <c r="AI180" i="13" s="1"/>
  <c r="AJ180" i="13" s="1"/>
  <c r="AK180" i="13" s="1"/>
  <c r="AL180" i="13" s="1"/>
  <c r="AM180" i="13" s="1"/>
  <c r="AN180" i="13" s="1"/>
  <c r="AO180" i="13" s="1"/>
  <c r="AP180" i="13" s="1"/>
  <c r="AQ180" i="13" s="1"/>
  <c r="AR180" i="13" s="1"/>
  <c r="AS180" i="13" s="1"/>
  <c r="AT180" i="13" s="1"/>
  <c r="AU180" i="13" s="1"/>
  <c r="AV180" i="13" s="1"/>
  <c r="AW180" i="13" s="1"/>
  <c r="AX180" i="13" s="1"/>
  <c r="AY180" i="13" s="1"/>
  <c r="AZ180" i="13" s="1"/>
  <c r="BA180" i="13" s="1"/>
  <c r="BB180" i="13" s="1"/>
  <c r="BC180" i="13" s="1"/>
  <c r="BD180" i="13" s="1"/>
  <c r="BE180" i="13" s="1"/>
  <c r="BF180" i="13" s="1"/>
  <c r="BG180" i="13" s="1"/>
  <c r="BH180" i="13" s="1"/>
  <c r="BI180" i="13" s="1"/>
  <c r="BJ180" i="13" s="1"/>
  <c r="BK180" i="13" s="1"/>
  <c r="BL180" i="13" s="1"/>
  <c r="BM180" i="13" s="1"/>
  <c r="BN180" i="13" s="1"/>
  <c r="BO180" i="13" s="1"/>
  <c r="BP180" i="13" s="1"/>
  <c r="BQ180" i="13" s="1"/>
  <c r="BR180" i="13" s="1"/>
  <c r="BS180" i="13" s="1"/>
  <c r="BT180" i="13" s="1"/>
  <c r="BU180" i="13" s="1"/>
  <c r="BV180" i="13" s="1"/>
  <c r="BW180" i="13" s="1"/>
  <c r="BX180" i="13" s="1"/>
  <c r="BY180" i="13" s="1"/>
  <c r="BZ180" i="13" s="1"/>
  <c r="CA180" i="13" s="1"/>
  <c r="CB180" i="13" s="1"/>
  <c r="CC180" i="13" s="1"/>
  <c r="CD180" i="13" s="1"/>
  <c r="CE180" i="13" s="1"/>
  <c r="CF180" i="13" s="1"/>
  <c r="CG180" i="13" s="1"/>
  <c r="CH180" i="13" s="1"/>
  <c r="CI180" i="13" s="1"/>
  <c r="CJ180" i="13" s="1"/>
  <c r="CK180" i="13" s="1"/>
  <c r="CL180" i="13" s="1"/>
  <c r="CM180" i="13" s="1"/>
  <c r="Q394" i="13"/>
  <c r="Q395" i="13" s="1"/>
  <c r="AE230" i="13"/>
  <c r="AF230" i="13" s="1"/>
  <c r="AG230" i="13" s="1"/>
  <c r="AH230" i="13" s="1"/>
  <c r="AI230" i="13" s="1"/>
  <c r="AJ230" i="13" s="1"/>
  <c r="AK230" i="13" s="1"/>
  <c r="AL230" i="13" s="1"/>
  <c r="AM230" i="13" s="1"/>
  <c r="AN230" i="13" s="1"/>
  <c r="AO230" i="13" s="1"/>
  <c r="AP230" i="13" s="1"/>
  <c r="AQ230" i="13" s="1"/>
  <c r="AR230" i="13" s="1"/>
  <c r="AS230" i="13" s="1"/>
  <c r="AT230" i="13" s="1"/>
  <c r="AU230" i="13" s="1"/>
  <c r="AV230" i="13" s="1"/>
  <c r="AW230" i="13" s="1"/>
  <c r="AX230" i="13" s="1"/>
  <c r="AY230" i="13" s="1"/>
  <c r="AZ230" i="13" s="1"/>
  <c r="BA230" i="13" s="1"/>
  <c r="BB230" i="13" s="1"/>
  <c r="BC230" i="13" s="1"/>
  <c r="BD230" i="13" s="1"/>
  <c r="BE230" i="13" s="1"/>
  <c r="BF230" i="13" s="1"/>
  <c r="BG230" i="13" s="1"/>
  <c r="BH230" i="13" s="1"/>
  <c r="BI230" i="13" s="1"/>
  <c r="BJ230" i="13" s="1"/>
  <c r="BK230" i="13" s="1"/>
  <c r="BL230" i="13" s="1"/>
  <c r="BM230" i="13" s="1"/>
  <c r="BN230" i="13" s="1"/>
  <c r="BO230" i="13" s="1"/>
  <c r="BP230" i="13" s="1"/>
  <c r="BQ230" i="13" s="1"/>
  <c r="BR230" i="13" s="1"/>
  <c r="BS230" i="13" s="1"/>
  <c r="BT230" i="13" s="1"/>
  <c r="BU230" i="13" s="1"/>
  <c r="BV230" i="13" s="1"/>
  <c r="BW230" i="13" s="1"/>
  <c r="BX230" i="13" s="1"/>
  <c r="BY230" i="13" s="1"/>
  <c r="BZ230" i="13" s="1"/>
  <c r="CA230" i="13" s="1"/>
  <c r="CB230" i="13" s="1"/>
  <c r="CC230" i="13" s="1"/>
  <c r="CD230" i="13" s="1"/>
  <c r="CE230" i="13" s="1"/>
  <c r="CF230" i="13" s="1"/>
  <c r="CG230" i="13" s="1"/>
  <c r="CH230" i="13" s="1"/>
  <c r="CI230" i="13" s="1"/>
  <c r="CJ230" i="13" s="1"/>
  <c r="CK230" i="13" s="1"/>
  <c r="CL230" i="13" s="1"/>
  <c r="CM230" i="13" s="1"/>
  <c r="P394" i="13"/>
  <c r="P395" i="13" s="1"/>
  <c r="N368" i="13"/>
  <c r="N369" i="13" s="1"/>
  <c r="R368" i="13"/>
  <c r="R370" i="13" s="1"/>
  <c r="R394" i="13"/>
  <c r="R396" i="13" s="1"/>
  <c r="O394" i="13"/>
  <c r="AE155" i="13"/>
  <c r="AF155" i="13" s="1"/>
  <c r="AG155" i="13" s="1"/>
  <c r="AH155" i="13" s="1"/>
  <c r="AI155" i="13" s="1"/>
  <c r="AJ155" i="13" s="1"/>
  <c r="AK155" i="13" s="1"/>
  <c r="AL155" i="13" s="1"/>
  <c r="AM155" i="13" s="1"/>
  <c r="AN155" i="13" s="1"/>
  <c r="AO155" i="13" s="1"/>
  <c r="AP155" i="13" s="1"/>
  <c r="AQ155" i="13" s="1"/>
  <c r="AR155" i="13" s="1"/>
  <c r="AS155" i="13" s="1"/>
  <c r="AT155" i="13" s="1"/>
  <c r="AU155" i="13" s="1"/>
  <c r="AV155" i="13" s="1"/>
  <c r="AW155" i="13" s="1"/>
  <c r="AX155" i="13" s="1"/>
  <c r="AY155" i="13" s="1"/>
  <c r="AZ155" i="13" s="1"/>
  <c r="BA155" i="13" s="1"/>
  <c r="BB155" i="13" s="1"/>
  <c r="BC155" i="13" s="1"/>
  <c r="BD155" i="13" s="1"/>
  <c r="BE155" i="13" s="1"/>
  <c r="BF155" i="13" s="1"/>
  <c r="BG155" i="13" s="1"/>
  <c r="BH155" i="13" s="1"/>
  <c r="BI155" i="13" s="1"/>
  <c r="BJ155" i="13" s="1"/>
  <c r="BK155" i="13" s="1"/>
  <c r="BL155" i="13" s="1"/>
  <c r="BM155" i="13" s="1"/>
  <c r="BN155" i="13" s="1"/>
  <c r="BO155" i="13" s="1"/>
  <c r="BP155" i="13" s="1"/>
  <c r="BQ155" i="13" s="1"/>
  <c r="BR155" i="13" s="1"/>
  <c r="BS155" i="13" s="1"/>
  <c r="BT155" i="13" s="1"/>
  <c r="BU155" i="13" s="1"/>
  <c r="BV155" i="13" s="1"/>
  <c r="BW155" i="13" s="1"/>
  <c r="BX155" i="13" s="1"/>
  <c r="BY155" i="13" s="1"/>
  <c r="BZ155" i="13" s="1"/>
  <c r="CA155" i="13" s="1"/>
  <c r="CB155" i="13" s="1"/>
  <c r="CC155" i="13" s="1"/>
  <c r="CD155" i="13" s="1"/>
  <c r="CE155" i="13" s="1"/>
  <c r="CF155" i="13" s="1"/>
  <c r="CG155" i="13" s="1"/>
  <c r="CH155" i="13" s="1"/>
  <c r="CI155" i="13" s="1"/>
  <c r="CJ155" i="13" s="1"/>
  <c r="CK155" i="13" s="1"/>
  <c r="CL155" i="13" s="1"/>
  <c r="CM155" i="13" s="1"/>
  <c r="V159" i="13"/>
  <c r="V259" i="13"/>
  <c r="AE255" i="13"/>
  <c r="AF255" i="13" s="1"/>
  <c r="AG255" i="13" s="1"/>
  <c r="AH255" i="13" s="1"/>
  <c r="AI255" i="13" s="1"/>
  <c r="AJ255" i="13" s="1"/>
  <c r="AK255" i="13" s="1"/>
  <c r="AL255" i="13" s="1"/>
  <c r="AM255" i="13" s="1"/>
  <c r="AN255" i="13" s="1"/>
  <c r="AO255" i="13" s="1"/>
  <c r="AP255" i="13" s="1"/>
  <c r="AQ255" i="13" s="1"/>
  <c r="AR255" i="13" s="1"/>
  <c r="AS255" i="13" s="1"/>
  <c r="AT255" i="13" s="1"/>
  <c r="AU255" i="13" s="1"/>
  <c r="AV255" i="13" s="1"/>
  <c r="AW255" i="13" s="1"/>
  <c r="AX255" i="13" s="1"/>
  <c r="AY255" i="13" s="1"/>
  <c r="AZ255" i="13" s="1"/>
  <c r="BA255" i="13" s="1"/>
  <c r="BB255" i="13" s="1"/>
  <c r="BC255" i="13" s="1"/>
  <c r="BD255" i="13" s="1"/>
  <c r="BE255" i="13" s="1"/>
  <c r="BF255" i="13" s="1"/>
  <c r="BG255" i="13" s="1"/>
  <c r="BH255" i="13" s="1"/>
  <c r="BI255" i="13" s="1"/>
  <c r="BJ255" i="13" s="1"/>
  <c r="BK255" i="13" s="1"/>
  <c r="BL255" i="13" s="1"/>
  <c r="BM255" i="13" s="1"/>
  <c r="BN255" i="13" s="1"/>
  <c r="BO255" i="13" s="1"/>
  <c r="BP255" i="13" s="1"/>
  <c r="BQ255" i="13" s="1"/>
  <c r="BR255" i="13" s="1"/>
  <c r="BS255" i="13" s="1"/>
  <c r="BT255" i="13" s="1"/>
  <c r="BU255" i="13" s="1"/>
  <c r="BV255" i="13" s="1"/>
  <c r="BW255" i="13" s="1"/>
  <c r="BX255" i="13" s="1"/>
  <c r="BY255" i="13" s="1"/>
  <c r="BZ255" i="13" s="1"/>
  <c r="CA255" i="13" s="1"/>
  <c r="CB255" i="13" s="1"/>
  <c r="CC255" i="13" s="1"/>
  <c r="CD255" i="13" s="1"/>
  <c r="CE255" i="13" s="1"/>
  <c r="CF255" i="13" s="1"/>
  <c r="CG255" i="13" s="1"/>
  <c r="CH255" i="13" s="1"/>
  <c r="CI255" i="13" s="1"/>
  <c r="CJ255" i="13" s="1"/>
  <c r="CK255" i="13" s="1"/>
  <c r="CL255" i="13" s="1"/>
  <c r="CM255" i="13" s="1"/>
  <c r="Q370" i="13" l="1"/>
  <c r="N396" i="13"/>
  <c r="T12" i="15" s="1"/>
  <c r="T15" i="15" s="1"/>
  <c r="X12" i="15"/>
  <c r="X67" i="15"/>
  <c r="X70" i="15" s="1"/>
  <c r="AH68" i="15" s="1"/>
  <c r="X80" i="15"/>
  <c r="X83" i="15" s="1"/>
  <c r="AH79" i="15" s="1"/>
  <c r="X54" i="15"/>
  <c r="X57" i="15" s="1"/>
  <c r="AH52" i="15" s="1"/>
  <c r="X38" i="15"/>
  <c r="X41" i="15" s="1"/>
  <c r="AH39" i="15" s="1"/>
  <c r="P370" i="13"/>
  <c r="R369" i="13"/>
  <c r="R395" i="13"/>
  <c r="O370" i="13"/>
  <c r="N370" i="13"/>
  <c r="Q396" i="13"/>
  <c r="P396" i="13"/>
  <c r="O396" i="13"/>
  <c r="O395" i="13"/>
  <c r="X15" i="15" l="1"/>
  <c r="AH13" i="15" s="1"/>
  <c r="AH78" i="15"/>
  <c r="AH81" i="15"/>
  <c r="AH80" i="15"/>
  <c r="AH65" i="15"/>
  <c r="AH67" i="15"/>
  <c r="AH66" i="15"/>
  <c r="AH53" i="15"/>
  <c r="AH54" i="15"/>
  <c r="AH55" i="15"/>
  <c r="AH37" i="15"/>
  <c r="AH36" i="15"/>
  <c r="AH38" i="15"/>
  <c r="T80" i="15"/>
  <c r="T83" i="15" s="1"/>
  <c r="AD78" i="15" s="1"/>
  <c r="T38" i="15"/>
  <c r="T41" i="15" s="1"/>
  <c r="AD37" i="15" s="1"/>
  <c r="T67" i="15"/>
  <c r="T70" i="15" s="1"/>
  <c r="AD66" i="15" s="1"/>
  <c r="T54" i="15"/>
  <c r="T57" i="15" s="1"/>
  <c r="AD53" i="15" s="1"/>
  <c r="V12" i="15"/>
  <c r="V15" i="15" s="1"/>
  <c r="V80" i="15"/>
  <c r="V83" i="15" s="1"/>
  <c r="AF79" i="15" s="1"/>
  <c r="V54" i="15"/>
  <c r="V57" i="15" s="1"/>
  <c r="AF52" i="15" s="1"/>
  <c r="V38" i="15"/>
  <c r="V41" i="15" s="1"/>
  <c r="AF39" i="15" s="1"/>
  <c r="V67" i="15"/>
  <c r="V70" i="15" s="1"/>
  <c r="AF68" i="15" s="1"/>
  <c r="W12" i="15"/>
  <c r="W15" i="15" s="1"/>
  <c r="W67" i="15"/>
  <c r="W70" i="15" s="1"/>
  <c r="AG68" i="15" s="1"/>
  <c r="W80" i="15"/>
  <c r="W83" i="15" s="1"/>
  <c r="AG79" i="15" s="1"/>
  <c r="W54" i="15"/>
  <c r="W57" i="15" s="1"/>
  <c r="AG52" i="15" s="1"/>
  <c r="W38" i="15"/>
  <c r="W41" i="15" s="1"/>
  <c r="AG39" i="15" s="1"/>
  <c r="U12" i="15"/>
  <c r="U15" i="15" s="1"/>
  <c r="U80" i="15"/>
  <c r="U83" i="15" s="1"/>
  <c r="AE79" i="15" s="1"/>
  <c r="U54" i="15"/>
  <c r="U57" i="15" s="1"/>
  <c r="AE52" i="15" s="1"/>
  <c r="U38" i="15"/>
  <c r="U41" i="15" s="1"/>
  <c r="AE39" i="15" s="1"/>
  <c r="U67" i="15"/>
  <c r="U70" i="15" s="1"/>
  <c r="AE68" i="15" s="1"/>
  <c r="AD12" i="15"/>
  <c r="AH11" i="15" l="1"/>
  <c r="AD39" i="15"/>
  <c r="AH12" i="15"/>
  <c r="AF67" i="15"/>
  <c r="AF65" i="15"/>
  <c r="AD79" i="15"/>
  <c r="AD38" i="15"/>
  <c r="AF66" i="15"/>
  <c r="AE65" i="15"/>
  <c r="AD81" i="15"/>
  <c r="AD36" i="15"/>
  <c r="AF38" i="15"/>
  <c r="AF53" i="15"/>
  <c r="AG55" i="15"/>
  <c r="AF55" i="15"/>
  <c r="AD67" i="15"/>
  <c r="AG66" i="15"/>
  <c r="AG65" i="15"/>
  <c r="AE81" i="15"/>
  <c r="AF78" i="15"/>
  <c r="AH10" i="15"/>
  <c r="AE37" i="15"/>
  <c r="AF36" i="15"/>
  <c r="AD54" i="15"/>
  <c r="AE53" i="15"/>
  <c r="AG54" i="15"/>
  <c r="AF54" i="15"/>
  <c r="AD68" i="15"/>
  <c r="AE66" i="15"/>
  <c r="AE67" i="15"/>
  <c r="AD80" i="15"/>
  <c r="AE78" i="15"/>
  <c r="AG80" i="15"/>
  <c r="AG37" i="15"/>
  <c r="AG38" i="15"/>
  <c r="AE38" i="15"/>
  <c r="AD55" i="15"/>
  <c r="AE55" i="15"/>
  <c r="AD65" i="15"/>
  <c r="AF80" i="15"/>
  <c r="AG81" i="15"/>
  <c r="AF37" i="15"/>
  <c r="AG36" i="15"/>
  <c r="AE36" i="15"/>
  <c r="AD52" i="15"/>
  <c r="AE54" i="15"/>
  <c r="AG53" i="15"/>
  <c r="AG67" i="15"/>
  <c r="AE80" i="15"/>
  <c r="AF81" i="15"/>
  <c r="AG78" i="15"/>
  <c r="AD11" i="15"/>
  <c r="AD13" i="15"/>
  <c r="AD10" i="15"/>
  <c r="Y83" i="15"/>
  <c r="Y70" i="15"/>
  <c r="Y72" i="15" s="1"/>
  <c r="T71" i="15" s="1"/>
  <c r="T72" i="15" s="1"/>
  <c r="Y41" i="15"/>
  <c r="Y15" i="15"/>
  <c r="Y57" i="15"/>
  <c r="Y59" i="15" s="1"/>
  <c r="Z41" i="15"/>
  <c r="AC41" i="15"/>
  <c r="Z57" i="15"/>
  <c r="AC57" i="15"/>
  <c r="Z83" i="15"/>
  <c r="AC83" i="15"/>
  <c r="Z70" i="15"/>
  <c r="Z72" i="15" s="1"/>
  <c r="U71" i="15" s="1"/>
  <c r="AE12" i="15"/>
  <c r="AA70" i="15"/>
  <c r="AA72" i="15" s="1"/>
  <c r="V71" i="15" s="1"/>
  <c r="AF12" i="15"/>
  <c r="AC43" i="15" l="1"/>
  <c r="T91" i="19" s="1"/>
  <c r="Z91" i="19"/>
  <c r="Z43" i="15"/>
  <c r="U42" i="15" s="1"/>
  <c r="Z88" i="19"/>
  <c r="Z87" i="19"/>
  <c r="Y43" i="15"/>
  <c r="T87" i="19" s="1"/>
  <c r="Y17" i="15"/>
  <c r="T58" i="19" s="1"/>
  <c r="Z58" i="19"/>
  <c r="AE13" i="15"/>
  <c r="AF13" i="15"/>
  <c r="AG12" i="15"/>
  <c r="AG13" i="15"/>
  <c r="AE10" i="15"/>
  <c r="AE11" i="15"/>
  <c r="AF10" i="15"/>
  <c r="AF11" i="15"/>
  <c r="AG10" i="15"/>
  <c r="AG11" i="15"/>
  <c r="Y85" i="15"/>
  <c r="AB15" i="15"/>
  <c r="AC15" i="15"/>
  <c r="Z15" i="15"/>
  <c r="Z59" i="19" s="1"/>
  <c r="AB83" i="15"/>
  <c r="AB85" i="15" s="1"/>
  <c r="AA57" i="15"/>
  <c r="AB70" i="15"/>
  <c r="AB72" i="15" s="1"/>
  <c r="W71" i="15" s="1"/>
  <c r="W72" i="15" s="1"/>
  <c r="AA15" i="15"/>
  <c r="AB41" i="15"/>
  <c r="AC70" i="15"/>
  <c r="AC72" i="15" s="1"/>
  <c r="X71" i="15" s="1"/>
  <c r="X72" i="15" s="1"/>
  <c r="AA41" i="15"/>
  <c r="V72" i="15"/>
  <c r="Z85" i="15"/>
  <c r="Z59" i="15"/>
  <c r="U72" i="15"/>
  <c r="AB57" i="15"/>
  <c r="AC85" i="15"/>
  <c r="AC59" i="15"/>
  <c r="T58" i="15"/>
  <c r="AA83" i="15"/>
  <c r="X42" i="15" l="1"/>
  <c r="T88" i="19"/>
  <c r="AB43" i="15"/>
  <c r="W42" i="15" s="1"/>
  <c r="Q90" i="19" s="1"/>
  <c r="Z90" i="19"/>
  <c r="AA43" i="15"/>
  <c r="T89" i="19" s="1"/>
  <c r="Z89" i="19"/>
  <c r="Q88" i="19"/>
  <c r="U43" i="15"/>
  <c r="T42" i="15"/>
  <c r="T43" i="15" s="1"/>
  <c r="AC17" i="15"/>
  <c r="X16" i="15" s="1"/>
  <c r="X17" i="15" s="1"/>
  <c r="Z62" i="19"/>
  <c r="AB17" i="15"/>
  <c r="W16" i="15" s="1"/>
  <c r="Q61" i="19" s="1"/>
  <c r="Z61" i="19"/>
  <c r="AA17" i="15"/>
  <c r="T60" i="19" s="1"/>
  <c r="Z60" i="19"/>
  <c r="T16" i="15"/>
  <c r="Q58" i="19" s="1"/>
  <c r="T84" i="15"/>
  <c r="Z17" i="15"/>
  <c r="AA59" i="15"/>
  <c r="V58" i="15" s="1"/>
  <c r="U84" i="15"/>
  <c r="X84" i="15"/>
  <c r="AB59" i="15"/>
  <c r="T59" i="15"/>
  <c r="W84" i="15"/>
  <c r="U58" i="15"/>
  <c r="AA85" i="15"/>
  <c r="X58" i="15"/>
  <c r="N382" i="13"/>
  <c r="O382" i="13"/>
  <c r="P383" i="13"/>
  <c r="V25" i="15" s="1"/>
  <c r="R383" i="13"/>
  <c r="X25" i="15" s="1"/>
  <c r="Q382" i="13"/>
  <c r="Q91" i="19" l="1"/>
  <c r="X43" i="15"/>
  <c r="T90" i="19"/>
  <c r="V42" i="15"/>
  <c r="Q89" i="19" s="1"/>
  <c r="Q87" i="19"/>
  <c r="W43" i="15"/>
  <c r="T62" i="19"/>
  <c r="T61" i="19"/>
  <c r="T17" i="15"/>
  <c r="V16" i="15"/>
  <c r="Q60" i="19" s="1"/>
  <c r="W17" i="15"/>
  <c r="T85" i="15"/>
  <c r="Q62" i="19"/>
  <c r="U16" i="15"/>
  <c r="U17" i="15" s="1"/>
  <c r="T59" i="19"/>
  <c r="X28" i="15"/>
  <c r="AH25" i="15" s="1"/>
  <c r="V28" i="15"/>
  <c r="AC28" i="15" s="1"/>
  <c r="Z71" i="19" s="1"/>
  <c r="X59" i="15"/>
  <c r="W58" i="15"/>
  <c r="X85" i="15"/>
  <c r="V84" i="15"/>
  <c r="U59" i="15"/>
  <c r="W85" i="15"/>
  <c r="V59" i="15"/>
  <c r="U85" i="15"/>
  <c r="O383" i="13"/>
  <c r="U25" i="15" s="1"/>
  <c r="R382" i="13"/>
  <c r="P382" i="13"/>
  <c r="Q383" i="13"/>
  <c r="W25" i="15" s="1"/>
  <c r="N383" i="13"/>
  <c r="T25" i="15" s="1"/>
  <c r="V43" i="15" l="1"/>
  <c r="V17" i="15"/>
  <c r="Q59" i="19"/>
  <c r="AC30" i="15"/>
  <c r="T71" i="19" s="1"/>
  <c r="U28" i="15"/>
  <c r="AE25" i="15" s="1"/>
  <c r="T28" i="15"/>
  <c r="Y28" i="15" s="1"/>
  <c r="AF26" i="15"/>
  <c r="AF24" i="15"/>
  <c r="AF23" i="15"/>
  <c r="AA28" i="15"/>
  <c r="Z69" i="19" s="1"/>
  <c r="W28" i="15"/>
  <c r="AB28" i="15" s="1"/>
  <c r="Z70" i="19" s="1"/>
  <c r="AF25" i="15"/>
  <c r="AH26" i="15"/>
  <c r="AH23" i="15"/>
  <c r="AH24" i="15"/>
  <c r="V85" i="15"/>
  <c r="W59" i="15"/>
  <c r="Z67" i="19" l="1"/>
  <c r="AG25" i="15"/>
  <c r="Y30" i="15"/>
  <c r="AA30" i="15"/>
  <c r="T69" i="19" s="1"/>
  <c r="AD25" i="15"/>
  <c r="AB30" i="15"/>
  <c r="T70" i="19" s="1"/>
  <c r="AE26" i="15"/>
  <c r="AE24" i="15"/>
  <c r="AE23" i="15"/>
  <c r="X29" i="15"/>
  <c r="Q71" i="19" s="1"/>
  <c r="AD24" i="15"/>
  <c r="AD26" i="15"/>
  <c r="AD23" i="15"/>
  <c r="AG26" i="15"/>
  <c r="AG24" i="15"/>
  <c r="AG23" i="15"/>
  <c r="Z28" i="15"/>
  <c r="Z68" i="19" s="1"/>
  <c r="T67" i="19" l="1"/>
  <c r="V29" i="15"/>
  <c r="Q69" i="19" s="1"/>
  <c r="W29" i="15"/>
  <c r="Q70" i="19" s="1"/>
  <c r="T29" i="15"/>
  <c r="X30" i="15"/>
  <c r="Z30" i="15"/>
  <c r="T68" i="19" s="1"/>
  <c r="Q67" i="19" l="1"/>
  <c r="U29" i="15"/>
  <c r="Q68" i="19" s="1"/>
  <c r="T30" i="15"/>
  <c r="W30" i="15"/>
  <c r="V30" i="15"/>
  <c r="U30"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Oswaldo</author>
  </authors>
  <commentList>
    <comment ref="H23" authorId="0" shapeId="0" xr:uid="{00000000-0006-0000-0000-000001000000}">
      <text>
        <r>
          <rPr>
            <b/>
            <sz val="9"/>
            <color indexed="81"/>
            <rFont val="Segoe UI"/>
            <family val="2"/>
          </rPr>
          <t>Absorbância ou Transmitância</t>
        </r>
      </text>
    </comment>
    <comment ref="K43" authorId="0" shapeId="0" xr:uid="{00000000-0006-0000-0000-000002000000}">
      <text>
        <r>
          <rPr>
            <b/>
            <sz val="9"/>
            <color indexed="81"/>
            <rFont val="Segoe UI"/>
            <family val="2"/>
          </rPr>
          <t>Inserir: manual ou o valor.</t>
        </r>
      </text>
    </comment>
    <comment ref="F45" authorId="0" shapeId="0" xr:uid="{00000000-0006-0000-0000-000003000000}">
      <text>
        <r>
          <rPr>
            <b/>
            <sz val="9"/>
            <color indexed="81"/>
            <rFont val="Segoe UI"/>
            <family val="2"/>
          </rPr>
          <t>Wavelength accuracy</t>
        </r>
      </text>
    </comment>
    <comment ref="J45" authorId="0" shapeId="0" xr:uid="{00000000-0006-0000-0000-000004000000}">
      <text>
        <r>
          <rPr>
            <b/>
            <sz val="9"/>
            <color indexed="81"/>
            <rFont val="Segoe UI"/>
            <family val="2"/>
          </rPr>
          <t>Resolution ou Limiting Resolution.
Igual ou menor que a exatidão. Trata-se do menor passo possível em comprimento de onda.</t>
        </r>
      </text>
    </comment>
    <comment ref="M396" authorId="0" shapeId="0" xr:uid="{00000000-0006-0000-0000-000005000000}">
      <text>
        <r>
          <rPr>
            <b/>
            <sz val="9"/>
            <color indexed="81"/>
            <rFont val="Segoe UI"/>
            <family val="2"/>
          </rPr>
          <t>DPEM: Desvio padrão experimental da média.
Calculado usando função Excel DESVQ que ignora espaços em branco ou valores diferentes de números; por exemplo, situação com menos de 4 medições.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Oswaldo</author>
  </authors>
  <commentList>
    <comment ref="H23" authorId="0" shapeId="0" xr:uid="{6CA89C78-DFEB-4942-B8FE-E4F18DE3188C}">
      <text>
        <r>
          <rPr>
            <b/>
            <sz val="9"/>
            <color indexed="81"/>
            <rFont val="Segoe UI"/>
            <family val="2"/>
          </rPr>
          <t>Absorbância ou Transmitância</t>
        </r>
      </text>
    </comment>
    <comment ref="F45" authorId="0" shapeId="0" xr:uid="{D6563E56-1BA2-40C2-ABB3-F489BBDA1F5A}">
      <text>
        <r>
          <rPr>
            <b/>
            <sz val="9"/>
            <color indexed="81"/>
            <rFont val="Segoe UI"/>
            <family val="2"/>
          </rPr>
          <t>Wavelength accuracy</t>
        </r>
      </text>
    </comment>
    <comment ref="J45" authorId="0" shapeId="0" xr:uid="{1A396BEB-40EA-42CF-BF0E-811FE8F64DDD}">
      <text>
        <r>
          <rPr>
            <b/>
            <sz val="9"/>
            <color indexed="81"/>
            <rFont val="Segoe UI"/>
            <family val="2"/>
          </rPr>
          <t>Resolution ou Limiting Resolution.
Igual ou menor que a exatidão. Trata-se do menor passo possível em comprimento de onda.</t>
        </r>
      </text>
    </comment>
    <comment ref="AB56" authorId="0" shapeId="0" xr:uid="{3E1B2BFD-12C9-4C53-9EBE-5C6542A53AE2}">
      <text>
        <r>
          <rPr>
            <b/>
            <sz val="9"/>
            <color indexed="81"/>
            <rFont val="Segoe UI"/>
            <family val="2"/>
          </rPr>
          <t>Grau do polinômio interpolado</t>
        </r>
      </text>
    </comment>
    <comment ref="AA58" authorId="0" shapeId="0" xr:uid="{72465D9F-6829-45AF-8EB7-2474D5C34FA8}">
      <text>
        <r>
          <rPr>
            <b/>
            <sz val="9"/>
            <color indexed="81"/>
            <rFont val="Segoe UI"/>
            <family val="2"/>
          </rPr>
          <t>Comprimento de onda resolvido com Solver do EXCEL.</t>
        </r>
      </text>
    </comment>
    <comment ref="AB58" authorId="0" shapeId="0" xr:uid="{61336706-887A-40B2-9898-3D74B1E42510}">
      <text>
        <r>
          <rPr>
            <b/>
            <sz val="9"/>
            <color indexed="81"/>
            <rFont val="Segoe UI"/>
            <family val="2"/>
          </rPr>
          <t>Copiar o valor de R</t>
        </r>
        <r>
          <rPr>
            <b/>
            <vertAlign val="superscript"/>
            <sz val="9"/>
            <color indexed="81"/>
            <rFont val="Segoe UI"/>
            <family val="2"/>
          </rPr>
          <t>2</t>
        </r>
        <r>
          <rPr>
            <b/>
            <sz val="9"/>
            <color indexed="81"/>
            <rFont val="Segoe UI"/>
            <family val="2"/>
          </rPr>
          <t xml:space="preserve"> do polinômio interpolado pelo EXCEL.</t>
        </r>
      </text>
    </comment>
    <comment ref="AB59" authorId="0" shapeId="0" xr:uid="{D765EF5C-184E-4CCE-A1E8-F1EF5FAC9BE4}">
      <text>
        <r>
          <rPr>
            <b/>
            <sz val="9"/>
            <color indexed="81"/>
            <rFont val="Segoe UI"/>
            <family val="2"/>
          </rPr>
          <t xml:space="preserve">s = Resíduo dos pontos interpolados:
 </t>
        </r>
        <r>
          <rPr>
            <b/>
            <sz val="9"/>
            <color indexed="81"/>
            <rFont val="Symbol"/>
            <family val="1"/>
            <charset val="2"/>
          </rPr>
          <t xml:space="preserve">Ö </t>
        </r>
        <r>
          <rPr>
            <b/>
            <sz val="9"/>
            <color indexed="81"/>
            <rFont val="Arial"/>
            <family val="2"/>
          </rPr>
          <t>R</t>
        </r>
        <r>
          <rPr>
            <b/>
            <vertAlign val="superscript"/>
            <sz val="9"/>
            <color indexed="81"/>
            <rFont val="Segoe UI"/>
            <family val="2"/>
          </rPr>
          <t>2</t>
        </r>
        <r>
          <rPr>
            <b/>
            <sz val="9"/>
            <color indexed="81"/>
            <rFont val="Segoe UI"/>
            <family val="2"/>
          </rPr>
          <t>/(n - p).
Onde R</t>
        </r>
        <r>
          <rPr>
            <b/>
            <vertAlign val="superscript"/>
            <sz val="9"/>
            <color indexed="81"/>
            <rFont val="Segoe UI"/>
            <family val="2"/>
          </rPr>
          <t>2</t>
        </r>
        <r>
          <rPr>
            <b/>
            <sz val="9"/>
            <color indexed="81"/>
            <rFont val="Segoe UI"/>
            <family val="2"/>
          </rPr>
          <t xml:space="preserve"> obtido na interpolação EXCEL.</t>
        </r>
      </text>
    </comment>
    <comment ref="AC59" authorId="0" shapeId="0" xr:uid="{4F1E7B64-F33D-4F2B-BBE5-88A61D891914}">
      <text>
        <r>
          <rPr>
            <sz val="9"/>
            <color indexed="81"/>
            <rFont val="Segoe UI"/>
            <family val="2"/>
          </rPr>
          <t xml:space="preserve">Resíduo dos pontos interpolados:
 </t>
        </r>
        <r>
          <rPr>
            <sz val="9"/>
            <color indexed="81"/>
            <rFont val="Symbol"/>
            <family val="1"/>
            <charset val="2"/>
          </rPr>
          <t>Ö</t>
        </r>
        <r>
          <rPr>
            <sz val="9"/>
            <color indexed="81"/>
            <rFont val="Segoe UI"/>
            <family val="2"/>
          </rPr>
          <t xml:space="preserve"> </t>
        </r>
        <r>
          <rPr>
            <sz val="9"/>
            <color indexed="81"/>
            <rFont val="Symbol"/>
            <family val="1"/>
            <charset val="2"/>
          </rPr>
          <t>S</t>
        </r>
        <r>
          <rPr>
            <sz val="9"/>
            <color indexed="81"/>
            <rFont val="Segoe UI"/>
            <family val="2"/>
          </rPr>
          <t>(xi - xmédio)</t>
        </r>
        <r>
          <rPr>
            <vertAlign val="superscript"/>
            <sz val="9"/>
            <color indexed="81"/>
            <rFont val="Segoe UI"/>
            <family val="2"/>
          </rPr>
          <t>2</t>
        </r>
        <r>
          <rPr>
            <sz val="9"/>
            <color indexed="81"/>
            <rFont val="Segoe UI"/>
            <family val="2"/>
          </rPr>
          <t xml:space="preserve">/(n - p).
</t>
        </r>
      </text>
    </comment>
    <comment ref="AB60" authorId="0" shapeId="0" xr:uid="{1B0210A6-6302-40EF-8EDA-868CA4DE1ECD}">
      <text>
        <r>
          <rPr>
            <b/>
            <sz val="9"/>
            <color indexed="81"/>
            <rFont val="Segoe UI"/>
            <family val="2"/>
          </rPr>
          <t>Número de polinômios interpolados ou número de medições do comprimento de onda do pico.</t>
        </r>
      </text>
    </comment>
    <comment ref="AB61" authorId="0" shapeId="0" xr:uid="{599BA646-4AC1-4240-8183-1B58010D9C65}">
      <text>
        <r>
          <rPr>
            <b/>
            <sz val="9"/>
            <color indexed="81"/>
            <rFont val="Segoe UI"/>
            <family val="2"/>
          </rPr>
          <t>Incerteza do comprimento de onda determinado para o pico:
u = s/</t>
        </r>
        <r>
          <rPr>
            <b/>
            <sz val="9"/>
            <color indexed="81"/>
            <rFont val="Symbol"/>
            <family val="1"/>
            <charset val="2"/>
          </rPr>
          <t>Ö</t>
        </r>
        <r>
          <rPr>
            <b/>
            <sz val="9"/>
            <color indexed="81"/>
            <rFont val="Segoe UI"/>
            <family val="2"/>
          </rPr>
          <t xml:space="preserve"> N
Onde N = número de curvas interpoladas (no. de medições).</t>
        </r>
      </text>
    </comment>
    <comment ref="AA68" authorId="0" shapeId="0" xr:uid="{A96B5715-1445-4CA8-9B60-08E7BD1D3668}">
      <text>
        <r>
          <rPr>
            <b/>
            <sz val="9"/>
            <color indexed="81"/>
            <rFont val="Segoe UI"/>
            <family val="2"/>
          </rPr>
          <t>Comprimento de onda resolvido com Solver do EXCEL.</t>
        </r>
      </text>
    </comment>
    <comment ref="AA83" authorId="0" shapeId="0" xr:uid="{743F94DF-2091-40D6-9275-94D9CFBD5F2F}">
      <text>
        <r>
          <rPr>
            <b/>
            <sz val="9"/>
            <color indexed="81"/>
            <rFont val="Segoe UI"/>
            <family val="2"/>
          </rPr>
          <t>Comprimento de onda resolvido com Solver do EXCEL.</t>
        </r>
      </text>
    </comment>
    <comment ref="AA93" authorId="0" shapeId="0" xr:uid="{9413A13F-4052-437F-B907-8E4F1AAB1EA4}">
      <text>
        <r>
          <rPr>
            <b/>
            <sz val="9"/>
            <color indexed="81"/>
            <rFont val="Segoe UI"/>
            <family val="2"/>
          </rPr>
          <t>Comprimento de onda resolvido com Solver do EXCEL.</t>
        </r>
      </text>
    </comment>
    <comment ref="AA108" authorId="0" shapeId="0" xr:uid="{3BCA3721-5909-4073-9026-3F6DB4FE029A}">
      <text>
        <r>
          <rPr>
            <b/>
            <sz val="9"/>
            <color indexed="81"/>
            <rFont val="Segoe UI"/>
            <family val="2"/>
          </rPr>
          <t>Comprimento de onda resolvido com Solver do EXCEL.</t>
        </r>
      </text>
    </comment>
    <comment ref="AA118" authorId="0" shapeId="0" xr:uid="{10E3D284-A62F-479C-80E6-F94FADD67311}">
      <text>
        <r>
          <rPr>
            <b/>
            <sz val="9"/>
            <color indexed="81"/>
            <rFont val="Segoe UI"/>
            <family val="2"/>
          </rPr>
          <t>Comprimento de onda resolvido com Solver do EXCEL.</t>
        </r>
      </text>
    </comment>
    <comment ref="AA133" authorId="0" shapeId="0" xr:uid="{787F1067-3E91-42A9-974C-1DBB834D8756}">
      <text>
        <r>
          <rPr>
            <b/>
            <sz val="9"/>
            <color indexed="81"/>
            <rFont val="Segoe UI"/>
            <family val="2"/>
          </rPr>
          <t>Comprimento de onda resolvido com Solver do EXCEL.</t>
        </r>
      </text>
    </comment>
    <comment ref="AA143" authorId="0" shapeId="0" xr:uid="{80922BA5-67B7-4DF6-9735-933EADBB816D}">
      <text>
        <r>
          <rPr>
            <b/>
            <sz val="9"/>
            <color indexed="81"/>
            <rFont val="Segoe UI"/>
            <family val="2"/>
          </rPr>
          <t>Comprimento de onda resolvido com Solver do EXCEL.</t>
        </r>
      </text>
    </comment>
    <comment ref="AA158" authorId="0" shapeId="0" xr:uid="{11E4ABF6-80FE-49BF-AB6E-2DC7BC8D7B66}">
      <text>
        <r>
          <rPr>
            <b/>
            <sz val="9"/>
            <color indexed="81"/>
            <rFont val="Segoe UI"/>
            <family val="2"/>
          </rPr>
          <t>Comprimento de onda resolvido com Solver do EXCEL.</t>
        </r>
      </text>
    </comment>
    <comment ref="AA168" authorId="0" shapeId="0" xr:uid="{AEFB62FD-20BD-4013-AFB1-2C062D3CD3DC}">
      <text>
        <r>
          <rPr>
            <b/>
            <sz val="9"/>
            <color indexed="81"/>
            <rFont val="Segoe UI"/>
            <family val="2"/>
          </rPr>
          <t>Comprimento de onda resolvido com Solver do EXCEL.</t>
        </r>
      </text>
    </comment>
    <comment ref="AA183" authorId="0" shapeId="0" xr:uid="{68E30A1F-970E-486A-85D5-FE89DEE34792}">
      <text>
        <r>
          <rPr>
            <b/>
            <sz val="9"/>
            <color indexed="81"/>
            <rFont val="Segoe UI"/>
            <family val="2"/>
          </rPr>
          <t>Comprimento de onda resolvido com Solver do EXCEL.</t>
        </r>
      </text>
    </comment>
    <comment ref="AA193" authorId="0" shapeId="0" xr:uid="{A0EDEBD7-89BF-4907-8B97-C10D2DFCAFB6}">
      <text>
        <r>
          <rPr>
            <b/>
            <sz val="9"/>
            <color indexed="81"/>
            <rFont val="Segoe UI"/>
            <family val="2"/>
          </rPr>
          <t>Comprimento de onda resolvido com Solver do EXCEL.</t>
        </r>
      </text>
    </comment>
    <comment ref="AA208" authorId="0" shapeId="0" xr:uid="{C4AB983C-E3CF-409E-8202-AED068CAA1B8}">
      <text>
        <r>
          <rPr>
            <b/>
            <sz val="9"/>
            <color indexed="81"/>
            <rFont val="Segoe UI"/>
            <family val="2"/>
          </rPr>
          <t>Comprimento de onda resolvido com Solver do EXCEL.</t>
        </r>
      </text>
    </comment>
    <comment ref="X365" authorId="0" shapeId="0" xr:uid="{FC02AD16-43FD-483E-9E9F-7A58EEFEAC3D}">
      <text>
        <r>
          <rPr>
            <b/>
            <sz val="9"/>
            <color indexed="81"/>
            <rFont val="Segoe UI"/>
            <family val="2"/>
          </rPr>
          <t>Valor médio dos dois resultados (curva vermelha e curva verde).</t>
        </r>
      </text>
    </comment>
    <comment ref="Z365" authorId="0" shapeId="0" xr:uid="{559DF19D-32D7-41A7-A7EC-418A25C4055B}">
      <text>
        <r>
          <rPr>
            <b/>
            <sz val="9"/>
            <color indexed="81"/>
            <rFont val="Segoe UI"/>
            <family val="2"/>
          </rPr>
          <t>Incerteza de localização do pico: estimada com base na convergência dos picos de comprimento de onda, conforme curvas de transmitância interpoladas.</t>
        </r>
      </text>
    </comment>
    <comment ref="AA365" authorId="0" shapeId="0" xr:uid="{FC0D5918-01F7-498B-AC76-53C59AF87B47}">
      <text>
        <r>
          <rPr>
            <b/>
            <sz val="9"/>
            <color indexed="81"/>
            <rFont val="Segoe UI"/>
            <family val="2"/>
          </rPr>
          <t>Fator de cobertura para P = 95,45%.</t>
        </r>
        <r>
          <rPr>
            <sz val="9"/>
            <color indexed="81"/>
            <rFont val="Segoe UI"/>
            <family val="2"/>
          </rPr>
          <t xml:space="preserve">
</t>
        </r>
      </text>
    </comment>
    <comment ref="AB365" authorId="0" shapeId="0" xr:uid="{1CF34E57-2719-4364-AF1C-C9EDA45A149B}">
      <text>
        <r>
          <rPr>
            <b/>
            <sz val="9"/>
            <color indexed="81"/>
            <rFont val="Segoe UI"/>
            <family val="2"/>
          </rPr>
          <t>Graus de liberdade da determinação do comprimento de onda mínimo: Gp -1.</t>
        </r>
      </text>
    </comment>
    <comment ref="AC365" authorId="0" shapeId="0" xr:uid="{E3D234BD-6B18-43AD-BC44-58B02D62041F}">
      <text>
        <r>
          <rPr>
            <b/>
            <sz val="9"/>
            <color indexed="81"/>
            <rFont val="Segoe UI"/>
            <family val="2"/>
          </rPr>
          <t>Graus de liberdade da medição.</t>
        </r>
      </text>
    </comment>
    <comment ref="M370" authorId="0" shapeId="0" xr:uid="{1BFAE488-165F-4C2D-882A-6035E34591AA}">
      <text>
        <r>
          <rPr>
            <b/>
            <sz val="9"/>
            <color indexed="81"/>
            <rFont val="Segoe UI"/>
            <family val="2"/>
          </rPr>
          <t>DPEM: Desvio padrão experimental da média.
Calculado usando função Excel DESVQ que ignora espaços em branco ou valores diferentes de números.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Oswaldo</author>
  </authors>
  <commentList>
    <comment ref="AK9" authorId="0" shapeId="0" xr:uid="{00000000-0006-0000-0200-000001000000}">
      <text>
        <r>
          <rPr>
            <b/>
            <sz val="9"/>
            <color indexed="81"/>
            <rFont val="Segoe UI"/>
            <family val="2"/>
          </rPr>
          <t xml:space="preserve">Não admite grau de liberdade para uma medida. Somente a partir de duas medidas. </t>
        </r>
      </text>
    </comment>
    <comment ref="C11" authorId="0" shapeId="0" xr:uid="{8EEC82E8-6CFB-442A-BD75-8224F2768BA0}">
      <text>
        <r>
          <rPr>
            <b/>
            <sz val="9"/>
            <color indexed="81"/>
            <rFont val="Segoe UI"/>
            <family val="2"/>
          </rPr>
          <t>Conforme certificado de calibração do padrão de comprimento de onda.</t>
        </r>
        <r>
          <rPr>
            <sz val="9"/>
            <color indexed="81"/>
            <rFont val="Segoe UI"/>
            <family val="2"/>
          </rPr>
          <t xml:space="preserve">
</t>
        </r>
      </text>
    </comment>
    <comment ref="AK11" authorId="0" shapeId="0" xr:uid="{643A4F7A-945D-471E-B522-0A52491471FC}">
      <text>
        <r>
          <rPr>
            <b/>
            <sz val="9"/>
            <color indexed="81"/>
            <rFont val="Segoe UI"/>
            <family val="2"/>
          </rPr>
          <t>Conforme indicado no certificado de calibração do padrão.</t>
        </r>
      </text>
    </comment>
    <comment ref="C12" authorId="0" shapeId="0" xr:uid="{00000000-0006-0000-0200-000002000000}">
      <text>
        <r>
          <rPr>
            <b/>
            <sz val="9"/>
            <color indexed="81"/>
            <rFont val="Segoe UI"/>
            <family val="2"/>
          </rPr>
          <t>Incerteza de localização do pico: estimada com base na convergência dos picos de comprimento de onda, conforme curvas de transmitância interpoladas.</t>
        </r>
      </text>
    </comment>
    <comment ref="AK12" authorId="0" shapeId="0" xr:uid="{00000000-0006-0000-0200-000003000000}">
      <text>
        <r>
          <rPr>
            <b/>
            <sz val="9"/>
            <color indexed="81"/>
            <rFont val="Segoe UI"/>
            <family val="2"/>
          </rPr>
          <t>Grau de liberdade devido à interpolação polinomial: Gp - 1.</t>
        </r>
        <r>
          <rPr>
            <sz val="9"/>
            <color indexed="81"/>
            <rFont val="Segoe UI"/>
            <family val="2"/>
          </rPr>
          <t xml:space="preserve">
</t>
        </r>
      </text>
    </comment>
    <comment ref="C13" authorId="0" shapeId="0" xr:uid="{00000000-0006-0000-0200-000004000000}">
      <text>
        <r>
          <rPr>
            <b/>
            <sz val="9"/>
            <color indexed="81"/>
            <rFont val="Segoe UI"/>
            <family val="2"/>
          </rPr>
          <t>Desvio padrão experimental da média das leituras: [</t>
        </r>
        <r>
          <rPr>
            <b/>
            <sz val="9"/>
            <color indexed="81"/>
            <rFont val="Symbol"/>
            <family val="1"/>
            <charset val="2"/>
          </rPr>
          <t>Ö</t>
        </r>
        <r>
          <rPr>
            <b/>
            <sz val="9"/>
            <color indexed="81"/>
            <rFont val="Segoe UI"/>
            <family val="2"/>
          </rPr>
          <t xml:space="preserve"> </t>
        </r>
        <r>
          <rPr>
            <sz val="9"/>
            <color indexed="81"/>
            <rFont val="Symbol"/>
            <family val="1"/>
            <charset val="2"/>
          </rPr>
          <t>S</t>
        </r>
        <r>
          <rPr>
            <b/>
            <sz val="9"/>
            <color indexed="81"/>
            <rFont val="Segoe UI"/>
            <family val="2"/>
          </rPr>
          <t>(x</t>
        </r>
        <r>
          <rPr>
            <b/>
            <vertAlign val="subscript"/>
            <sz val="9"/>
            <color indexed="81"/>
            <rFont val="Segoe UI"/>
            <family val="2"/>
          </rPr>
          <t>i</t>
        </r>
        <r>
          <rPr>
            <b/>
            <sz val="9"/>
            <color indexed="81"/>
            <rFont val="Segoe UI"/>
            <family val="2"/>
          </rPr>
          <t xml:space="preserve"> - x</t>
        </r>
        <r>
          <rPr>
            <b/>
            <vertAlign val="subscript"/>
            <sz val="9"/>
            <color indexed="81"/>
            <rFont val="Segoe UI"/>
            <family val="2"/>
          </rPr>
          <t>médio</t>
        </r>
        <r>
          <rPr>
            <b/>
            <sz val="9"/>
            <color indexed="81"/>
            <rFont val="Segoe UI"/>
            <family val="2"/>
          </rPr>
          <t>)</t>
        </r>
        <r>
          <rPr>
            <b/>
            <vertAlign val="superscript"/>
            <sz val="9"/>
            <color indexed="81"/>
            <rFont val="Segoe UI"/>
            <family val="2"/>
          </rPr>
          <t>2</t>
        </r>
        <r>
          <rPr>
            <b/>
            <sz val="9"/>
            <color indexed="81"/>
            <rFont val="Segoe UI"/>
            <family val="2"/>
          </rPr>
          <t>/(n - 1)]/</t>
        </r>
        <r>
          <rPr>
            <b/>
            <sz val="9"/>
            <color indexed="81"/>
            <rFont val="Symbol"/>
            <family val="1"/>
            <charset val="2"/>
          </rPr>
          <t xml:space="preserve">Ö </t>
        </r>
        <r>
          <rPr>
            <b/>
            <sz val="9"/>
            <color indexed="81"/>
            <rFont val="Segoe UI"/>
            <family val="2"/>
          </rPr>
          <t xml:space="preserve">n. Atualmente n = 2.
Quando for realizada apenas uma medida, esta componente será anulada e somente a componente da curva de interpolação será considerada.
</t>
        </r>
      </text>
    </comment>
    <comment ref="AK13" authorId="0" shapeId="0" xr:uid="{F80AC8D5-4973-493C-B7C2-C88368B7F757}">
      <text>
        <r>
          <rPr>
            <b/>
            <sz val="9"/>
            <color indexed="81"/>
            <rFont val="Segoe UI"/>
            <family val="2"/>
          </rPr>
          <t>Número de medições menos um: N - 1</t>
        </r>
      </text>
    </comment>
    <comment ref="C14" authorId="0" shapeId="0" xr:uid="{00000000-0006-0000-0200-000005000000}">
      <text>
        <r>
          <rPr>
            <b/>
            <sz val="9"/>
            <color indexed="81"/>
            <rFont val="Segoe UI"/>
            <family val="2"/>
          </rPr>
          <t xml:space="preserve">Seleciona na aba Registro de Dados a resolução do espectrofotômetro, em comprimento de onda. </t>
        </r>
        <r>
          <rPr>
            <sz val="9"/>
            <color indexed="81"/>
            <rFont val="Segoe UI"/>
            <family val="2"/>
          </rPr>
          <t xml:space="preserve">
</t>
        </r>
      </text>
    </comment>
    <comment ref="U14" authorId="0" shapeId="0" xr:uid="{00000000-0006-0000-0200-000006000000}">
      <text>
        <r>
          <rPr>
            <b/>
            <sz val="9"/>
            <color indexed="81"/>
            <rFont val="Segoe UL9"/>
          </rPr>
          <t xml:space="preserve">Divisor </t>
        </r>
        <r>
          <rPr>
            <b/>
            <sz val="9"/>
            <color indexed="81"/>
            <rFont val="Symbol"/>
            <family val="1"/>
            <charset val="2"/>
          </rPr>
          <t>= Ö</t>
        </r>
        <r>
          <rPr>
            <b/>
            <sz val="9"/>
            <color indexed="81"/>
            <rFont val="Segoe UI"/>
            <family val="2"/>
          </rPr>
          <t>12</t>
        </r>
      </text>
    </comment>
    <comment ref="AK15" authorId="0" shapeId="0" xr:uid="{00000000-0006-0000-0200-000007000000}">
      <text>
        <r>
          <rPr>
            <b/>
            <sz val="9"/>
            <color indexed="81"/>
            <rFont val="Segoe UI"/>
            <family val="2"/>
          </rPr>
          <t xml:space="preserve">Se a incerteza padrão da componente de repetitividade for nula, o grau de liberdade dessa componente é infinito, acarretando o mesmo para o grau de liberdade efetivo do resultado final.
Quando o grau de liberdade for maior que 10000, adota-se grau de liberdade infinito, uma vez que para grau 10000 o fator de cobertura é praticamente 2 (aproximação de 2,000252; zerado até a terceira casa decimal). </t>
        </r>
      </text>
    </comment>
    <comment ref="C17" authorId="0" shapeId="0" xr:uid="{00000000-0006-0000-0200-000008000000}">
      <text>
        <r>
          <rPr>
            <b/>
            <sz val="9"/>
            <color indexed="81"/>
            <rFont val="Segoe UI"/>
            <family val="2"/>
          </rPr>
          <t>Incerteza combinada multiplicada pelo fator de cobertura obtido para gerar probabilidade de 95,45%.</t>
        </r>
        <r>
          <rPr>
            <sz val="9"/>
            <color indexed="81"/>
            <rFont val="Segoe UI"/>
            <family val="2"/>
          </rPr>
          <t xml:space="preserve">
</t>
        </r>
      </text>
    </comment>
    <comment ref="AK17" authorId="0" shapeId="0" xr:uid="{00000000-0006-0000-0200-000009000000}">
      <text>
        <r>
          <rPr>
            <b/>
            <sz val="9"/>
            <color indexed="81"/>
            <rFont val="Segoe UI"/>
            <family val="2"/>
          </rPr>
          <t xml:space="preserve">Para probabilidade 95,45% e grau de liberdade efetivo infinito, o fator de cobertura é igual a 2.
Também, quando o grau de liberdade efetivo for maior que 1000000, aproxima-se o fator de cobertura para 2,000, arredondamento de 2,00000494, valor com 5 casas decimais nulas. Nos demais casos o fator é sempre calculado.
</t>
        </r>
      </text>
    </comment>
    <comment ref="C18" authorId="0" shapeId="0" xr:uid="{00000000-0006-0000-0200-00000A000000}">
      <text>
        <r>
          <rPr>
            <b/>
            <sz val="9"/>
            <color indexed="81"/>
            <rFont val="Segoe UI"/>
            <family val="2"/>
          </rPr>
          <t>Critério de arredondamento: se o erro de arredondamento para baixo for maior que 5%, arredonda para cima com um algarismo significativo. Se for menor que 5% arredonda para baixo com um algarismo significativo.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Oswaldo</author>
  </authors>
  <commentList>
    <comment ref="Y8" authorId="0" shapeId="0" xr:uid="{00000000-0006-0000-0300-000001000000}">
      <text>
        <r>
          <rPr>
            <b/>
            <sz val="9"/>
            <color indexed="81"/>
            <rFont val="Segoe UI"/>
            <family val="2"/>
          </rPr>
          <t xml:space="preserve">Não admite grau de liberdade para uma medida. Somente a partir de duas medidas. </t>
        </r>
      </text>
    </comment>
    <comment ref="C11" authorId="0" shapeId="0" xr:uid="{00000000-0006-0000-0300-000002000000}">
      <text>
        <r>
          <rPr>
            <b/>
            <sz val="9"/>
            <color indexed="81"/>
            <rFont val="Segoe UI"/>
            <family val="2"/>
          </rPr>
          <t>Contabiliza a deriva entre a calibração original pela Starna e a última calibração. Toma a deriva mensal média daquele período e estima a deriva proporcional ao número de meses desde o mês da última calibração. Portanto, calibrações realizadas no mês da recalibração terão deriva nula.
Conforme SP 260-140, os filtros são pré-sazonados, de forma que a única deriva ocorre por contaminação da superfície, reduzindo a transmitância (aumentando a absorbância), conforme observado nos gráficos de deriva total (curva verde) na aba Cadastro - Padrões Absobância.</t>
        </r>
      </text>
    </comment>
    <comment ref="C12" authorId="0" shapeId="0" xr:uid="{00000000-0006-0000-0300-000003000000}">
      <text>
        <r>
          <rPr>
            <b/>
            <sz val="9"/>
            <color indexed="81"/>
            <rFont val="Segoe UI"/>
            <family val="2"/>
          </rPr>
          <t xml:space="preserve">Desvio padrão experimental da média das leituras: 
</t>
        </r>
        <r>
          <rPr>
            <b/>
            <sz val="9"/>
            <color indexed="81"/>
            <rFont val="Symbol"/>
            <family val="1"/>
            <charset val="2"/>
          </rPr>
          <t>Ö</t>
        </r>
        <r>
          <rPr>
            <b/>
            <sz val="9"/>
            <color indexed="81"/>
            <rFont val="Segoe UI"/>
            <family val="2"/>
          </rPr>
          <t xml:space="preserve"> [</t>
        </r>
        <r>
          <rPr>
            <sz val="9"/>
            <color indexed="81"/>
            <rFont val="Symbol"/>
            <family val="1"/>
            <charset val="2"/>
          </rPr>
          <t>S</t>
        </r>
        <r>
          <rPr>
            <b/>
            <sz val="9"/>
            <color indexed="81"/>
            <rFont val="Segoe UI"/>
            <family val="2"/>
          </rPr>
          <t>(x</t>
        </r>
        <r>
          <rPr>
            <b/>
            <vertAlign val="subscript"/>
            <sz val="9"/>
            <color indexed="81"/>
            <rFont val="Segoe UI"/>
            <family val="2"/>
          </rPr>
          <t>i</t>
        </r>
        <r>
          <rPr>
            <b/>
            <sz val="9"/>
            <color indexed="81"/>
            <rFont val="Segoe UI"/>
            <family val="2"/>
          </rPr>
          <t xml:space="preserve"> - x</t>
        </r>
        <r>
          <rPr>
            <b/>
            <vertAlign val="subscript"/>
            <sz val="9"/>
            <color indexed="81"/>
            <rFont val="Segoe UI"/>
            <family val="2"/>
          </rPr>
          <t>médio</t>
        </r>
        <r>
          <rPr>
            <b/>
            <sz val="9"/>
            <color indexed="81"/>
            <rFont val="Segoe UI"/>
            <family val="2"/>
          </rPr>
          <t>)</t>
        </r>
        <r>
          <rPr>
            <b/>
            <vertAlign val="superscript"/>
            <sz val="9"/>
            <color indexed="81"/>
            <rFont val="Segoe UI"/>
            <family val="2"/>
          </rPr>
          <t>2</t>
        </r>
        <r>
          <rPr>
            <b/>
            <sz val="9"/>
            <color indexed="81"/>
            <rFont val="Segoe UI"/>
            <family val="2"/>
          </rPr>
          <t xml:space="preserve">/(n - 1)] / </t>
        </r>
        <r>
          <rPr>
            <b/>
            <sz val="9"/>
            <color indexed="81"/>
            <rFont val="Symbol"/>
            <family val="1"/>
            <charset val="2"/>
          </rPr>
          <t>Ö</t>
        </r>
        <r>
          <rPr>
            <b/>
            <sz val="9"/>
            <color indexed="81"/>
            <rFont val="Segoe UI"/>
            <family val="2"/>
          </rPr>
          <t xml:space="preserve"> n</t>
        </r>
      </text>
    </comment>
    <comment ref="C13" authorId="0" shapeId="0" xr:uid="{00000000-0006-0000-0300-000004000000}">
      <text>
        <r>
          <rPr>
            <b/>
            <sz val="9"/>
            <color indexed="81"/>
            <rFont val="Segoe UI"/>
            <family val="2"/>
          </rPr>
          <t xml:space="preserve">Seleciona na aba Registro de Dados a resolução do espectrofotômetro, em absorbância. </t>
        </r>
        <r>
          <rPr>
            <sz val="9"/>
            <color indexed="81"/>
            <rFont val="Segoe UI"/>
            <family val="2"/>
          </rPr>
          <t xml:space="preserve">
</t>
        </r>
      </text>
    </comment>
    <comment ref="O13" authorId="0" shapeId="0" xr:uid="{00000000-0006-0000-0300-000005000000}">
      <text>
        <r>
          <rPr>
            <b/>
            <sz val="9"/>
            <color indexed="81"/>
            <rFont val="Segoe UL9"/>
          </rPr>
          <t xml:space="preserve">Divisor </t>
        </r>
        <r>
          <rPr>
            <b/>
            <sz val="9"/>
            <color indexed="81"/>
            <rFont val="Symbol"/>
            <family val="1"/>
            <charset val="2"/>
          </rPr>
          <t>= Ö</t>
        </r>
        <r>
          <rPr>
            <b/>
            <sz val="9"/>
            <color indexed="81"/>
            <rFont val="Segoe UI"/>
            <family val="2"/>
          </rPr>
          <t>12</t>
        </r>
      </text>
    </comment>
    <comment ref="Y14" authorId="0" shapeId="0" xr:uid="{00000000-0006-0000-0300-000006000000}">
      <text>
        <r>
          <rPr>
            <b/>
            <sz val="9"/>
            <color indexed="81"/>
            <rFont val="Segoe UI"/>
            <family val="2"/>
          </rPr>
          <t>Se a incerteza padrão da componente de repetitividade for nula, o grau de liberdade dessa componente é infinito, acarretando o mesmo para o grau de liberdade efetivo do resultado final.
Quando o grau de liberdade for maior que 558, adota-se grau de liberdade infinito, uma vez que para grau 558 o fator de cobertura é praticamente 2,00 (aproximação de 2,004493), que aproximado até a segunda casa decimal será 2,00.</t>
        </r>
      </text>
    </comment>
    <comment ref="AC15" authorId="0" shapeId="0" xr:uid="{00000000-0006-0000-0300-000007000000}">
      <text>
        <r>
          <rPr>
            <b/>
            <sz val="9"/>
            <color indexed="81"/>
            <rFont val="Segoe UI"/>
            <family val="2"/>
          </rPr>
          <t>Manter as células T, U, V com estilo Symbol, para permitir o símbolo de infinito.</t>
        </r>
        <r>
          <rPr>
            <sz val="9"/>
            <color indexed="81"/>
            <rFont val="Segoe UI"/>
            <family val="2"/>
          </rPr>
          <t xml:space="preserve">
</t>
        </r>
      </text>
    </comment>
    <comment ref="C16" authorId="0" shapeId="0" xr:uid="{00000000-0006-0000-0300-000008000000}">
      <text>
        <r>
          <rPr>
            <b/>
            <sz val="9"/>
            <color indexed="81"/>
            <rFont val="Segoe UI"/>
            <family val="2"/>
          </rPr>
          <t>Incerteza combinada multiplicada pelo fator de cobertura obtido para gerar probabilidade de 95,45%.</t>
        </r>
        <r>
          <rPr>
            <sz val="9"/>
            <color indexed="81"/>
            <rFont val="Segoe UI"/>
            <family val="2"/>
          </rPr>
          <t xml:space="preserve">
</t>
        </r>
      </text>
    </comment>
    <comment ref="Y16" authorId="0" shapeId="0" xr:uid="{00000000-0006-0000-0300-000009000000}">
      <text>
        <r>
          <rPr>
            <b/>
            <sz val="9"/>
            <color indexed="81"/>
            <rFont val="Segoe UI"/>
            <family val="2"/>
          </rPr>
          <t xml:space="preserve">Para probabilidade 95,45% e grau de liberdade efetivo infinito, o fator de cobertura é igual a 2.
Também, quando o grau de liberdade efetivo for maior que 1000000, aproxima-se o fator de cobertura para 2,000, arredondamento de 2,00000494, valor com 5 casas decimais nulas. Nos demais casos o fator é sempre calculado.
</t>
        </r>
      </text>
    </comment>
    <comment ref="C17" authorId="0" shapeId="0" xr:uid="{00000000-0006-0000-0300-00000A000000}">
      <text>
        <r>
          <rPr>
            <b/>
            <sz val="9"/>
            <color indexed="81"/>
            <rFont val="Segoe UI"/>
            <family val="2"/>
          </rPr>
          <t>Critério de arredondamento: se o erro de arredondamento para baixo for maior que 5%, arredonda para cima com um algarismo significativo. Se for menor que 5% arredonda para baixo com um algarismo significativo.</t>
        </r>
      </text>
    </comment>
    <comment ref="Y21" authorId="0" shapeId="0" xr:uid="{00000000-0006-0000-0300-00000B000000}">
      <text>
        <r>
          <rPr>
            <b/>
            <sz val="9"/>
            <color indexed="81"/>
            <rFont val="Segoe UI"/>
            <family val="2"/>
          </rPr>
          <t xml:space="preserve">Não admite grau de liberdade para uma medida. Somente a partir de duas medidas. </t>
        </r>
      </text>
    </comment>
    <comment ref="C24" authorId="0" shapeId="0" xr:uid="{00000000-0006-0000-0300-00000C000000}">
      <text>
        <r>
          <rPr>
            <b/>
            <sz val="9"/>
            <color indexed="81"/>
            <rFont val="Segoe UI"/>
            <family val="2"/>
          </rPr>
          <t>Contabiliza a deriva entre a calibração original pela Starna e a última calibração. Toma a deriva mensal média daquele período e estima a deriva proporcional ao número de meses desde o mês da última calibração.
Conforme SP 260-140, os filtros são pré-sazonados, de forma que a única deriva ocorre por contaminação da superfície, reduzindo a transmitância (aumentando a absorbância).</t>
        </r>
      </text>
    </comment>
    <comment ref="C25" authorId="0" shapeId="0" xr:uid="{00000000-0006-0000-0300-00000D000000}">
      <text>
        <r>
          <rPr>
            <b/>
            <sz val="9"/>
            <color indexed="81"/>
            <rFont val="Segoe UI"/>
            <family val="2"/>
          </rPr>
          <t xml:space="preserve">Desvio padrão experimental da média das leituras: </t>
        </r>
        <r>
          <rPr>
            <b/>
            <sz val="9"/>
            <color indexed="81"/>
            <rFont val="Symbol"/>
            <family val="1"/>
            <charset val="2"/>
          </rPr>
          <t>Ö</t>
        </r>
        <r>
          <rPr>
            <b/>
            <sz val="9"/>
            <color indexed="81"/>
            <rFont val="Segoe UI"/>
            <family val="2"/>
          </rPr>
          <t xml:space="preserve"> </t>
        </r>
        <r>
          <rPr>
            <sz val="9"/>
            <color indexed="81"/>
            <rFont val="Symbol"/>
            <family val="1"/>
            <charset val="2"/>
          </rPr>
          <t>S</t>
        </r>
        <r>
          <rPr>
            <b/>
            <sz val="9"/>
            <color indexed="81"/>
            <rFont val="Segoe UI"/>
            <family val="2"/>
          </rPr>
          <t>(x</t>
        </r>
        <r>
          <rPr>
            <b/>
            <vertAlign val="subscript"/>
            <sz val="9"/>
            <color indexed="81"/>
            <rFont val="Segoe UI"/>
            <family val="2"/>
          </rPr>
          <t>i</t>
        </r>
        <r>
          <rPr>
            <b/>
            <sz val="9"/>
            <color indexed="81"/>
            <rFont val="Segoe UI"/>
            <family val="2"/>
          </rPr>
          <t xml:space="preserve"> - x</t>
        </r>
        <r>
          <rPr>
            <b/>
            <vertAlign val="subscript"/>
            <sz val="9"/>
            <color indexed="81"/>
            <rFont val="Segoe UI"/>
            <family val="2"/>
          </rPr>
          <t>médio</t>
        </r>
        <r>
          <rPr>
            <b/>
            <sz val="9"/>
            <color indexed="81"/>
            <rFont val="Segoe UI"/>
            <family val="2"/>
          </rPr>
          <t>)</t>
        </r>
        <r>
          <rPr>
            <b/>
            <vertAlign val="superscript"/>
            <sz val="9"/>
            <color indexed="81"/>
            <rFont val="Segoe UI"/>
            <family val="2"/>
          </rPr>
          <t>2</t>
        </r>
        <r>
          <rPr>
            <b/>
            <sz val="9"/>
            <color indexed="81"/>
            <rFont val="Segoe UI"/>
            <family val="2"/>
          </rPr>
          <t>/(n - 1)</t>
        </r>
      </text>
    </comment>
    <comment ref="C26" authorId="0" shapeId="0" xr:uid="{00000000-0006-0000-0300-00000E000000}">
      <text>
        <r>
          <rPr>
            <b/>
            <sz val="9"/>
            <color indexed="81"/>
            <rFont val="Segoe UI"/>
            <family val="2"/>
          </rPr>
          <t xml:space="preserve">Seleciona na aba Registro de Dados a resolução do espectrofotômetro, em absorbância. </t>
        </r>
        <r>
          <rPr>
            <sz val="9"/>
            <color indexed="81"/>
            <rFont val="Segoe UI"/>
            <family val="2"/>
          </rPr>
          <t xml:space="preserve">
</t>
        </r>
      </text>
    </comment>
    <comment ref="O26" authorId="0" shapeId="0" xr:uid="{00000000-0006-0000-0300-00000F000000}">
      <text>
        <r>
          <rPr>
            <b/>
            <sz val="9"/>
            <color indexed="81"/>
            <rFont val="Segoe UL9"/>
          </rPr>
          <t xml:space="preserve">Divisor </t>
        </r>
        <r>
          <rPr>
            <b/>
            <sz val="9"/>
            <color indexed="81"/>
            <rFont val="Symbol"/>
            <family val="1"/>
            <charset val="2"/>
          </rPr>
          <t>= Ö</t>
        </r>
        <r>
          <rPr>
            <b/>
            <sz val="9"/>
            <color indexed="81"/>
            <rFont val="Segoe UI"/>
            <family val="2"/>
          </rPr>
          <t>12</t>
        </r>
      </text>
    </comment>
    <comment ref="Y27" authorId="0" shapeId="0" xr:uid="{00000000-0006-0000-0300-000010000000}">
      <text>
        <r>
          <rPr>
            <b/>
            <sz val="9"/>
            <color indexed="81"/>
            <rFont val="Segoe UI"/>
            <family val="2"/>
          </rPr>
          <t xml:space="preserve">Se a incerteza padrão da componente de repetitividade for nula, o grau de liberdade dessa componente é infinito, acarretando o mesmo para o grau de liberdade efetivo do resultado final.
Quando o grau de liberdade for maior que 1000000, adota-se grau de liberdade infinito, uma vez que para grau 1000000 o fator de cobertura é praticamente 2 (aproximação de 2,00000494). Isto foi feito apenas para evitar o aparecimento de valores em notação científica, modo que não compatibiliza com o símbolo infinito, exibido em letra Symbol - a única que viabiliza o símbolo de infinito. </t>
        </r>
      </text>
    </comment>
    <comment ref="AC28" authorId="0" shapeId="0" xr:uid="{00000000-0006-0000-0300-000011000000}">
      <text>
        <r>
          <rPr>
            <b/>
            <sz val="9"/>
            <color indexed="81"/>
            <rFont val="Segoe UI"/>
            <family val="2"/>
          </rPr>
          <t>Manter as células T, U, V com estilo Symbol, para permitir o símbolo de infinito.</t>
        </r>
        <r>
          <rPr>
            <sz val="9"/>
            <color indexed="81"/>
            <rFont val="Segoe UI"/>
            <family val="2"/>
          </rPr>
          <t xml:space="preserve">
</t>
        </r>
      </text>
    </comment>
    <comment ref="C29" authorId="0" shapeId="0" xr:uid="{00000000-0006-0000-0300-000012000000}">
      <text>
        <r>
          <rPr>
            <b/>
            <sz val="9"/>
            <color indexed="81"/>
            <rFont val="Segoe UI"/>
            <family val="2"/>
          </rPr>
          <t>Incerteza combinada multiplicada pelo fator de cobertura obtido para gerar probabilidade de 95,45%.</t>
        </r>
        <r>
          <rPr>
            <sz val="9"/>
            <color indexed="81"/>
            <rFont val="Segoe UI"/>
            <family val="2"/>
          </rPr>
          <t xml:space="preserve">
</t>
        </r>
      </text>
    </comment>
    <comment ref="Y29" authorId="0" shapeId="0" xr:uid="{00000000-0006-0000-0300-000013000000}">
      <text>
        <r>
          <rPr>
            <b/>
            <sz val="9"/>
            <color indexed="81"/>
            <rFont val="Segoe UI"/>
            <family val="2"/>
          </rPr>
          <t xml:space="preserve">Para probabilidade 95,45% e grau de liberdade efetivo infinito, o fator de cobertura é igual a 2.
Também, quando o grau de liberdade efetivo for maior que 1000000, aproxima-se o fator de cobertura para 2,000, arredondamento de 2,00000494, valor com 5 casas decimais nulas. Nos demais casos o fator é sempre calculado.
</t>
        </r>
      </text>
    </comment>
    <comment ref="C30" authorId="0" shapeId="0" xr:uid="{00000000-0006-0000-0300-000014000000}">
      <text>
        <r>
          <rPr>
            <b/>
            <sz val="9"/>
            <color indexed="81"/>
            <rFont val="Segoe UI"/>
            <family val="2"/>
          </rPr>
          <t>Critério de arredondamento: se o erro de arredondamento para baixo for maior que 5%, arredonda para cima com um algarismo significativo. Se for menor que 5% arredonda para baixo com um algarismo significativo.</t>
        </r>
      </text>
    </comment>
    <comment ref="Y34" authorId="0" shapeId="0" xr:uid="{00000000-0006-0000-0300-000015000000}">
      <text>
        <r>
          <rPr>
            <b/>
            <sz val="9"/>
            <color indexed="81"/>
            <rFont val="Segoe UI"/>
            <family val="2"/>
          </rPr>
          <t xml:space="preserve">Não admite grau de liberdade para uma medida. Somente a partir de duas medidas. </t>
        </r>
      </text>
    </comment>
    <comment ref="C37" authorId="0" shapeId="0" xr:uid="{00000000-0006-0000-0300-000016000000}">
      <text>
        <r>
          <rPr>
            <b/>
            <sz val="9"/>
            <color indexed="81"/>
            <rFont val="Segoe UI"/>
            <family val="2"/>
          </rPr>
          <t>Contabiliza a deriva entre a calibração original pela Starna e a última calibração. Toma a deriva mensal média daquele período e estima a deriva proporcional ao número de meses desde o mês da última calibração.
Conforme SP 260-140, os filtros são pré-sazonados, de forma que a única deriva ocorre por contaminação da superfície, reduzindo a transmitância (aumentando a absorbância).</t>
        </r>
      </text>
    </comment>
    <comment ref="C38" authorId="0" shapeId="0" xr:uid="{00000000-0006-0000-0300-000017000000}">
      <text>
        <r>
          <rPr>
            <b/>
            <sz val="9"/>
            <color indexed="81"/>
            <rFont val="Segoe UI"/>
            <family val="2"/>
          </rPr>
          <t xml:space="preserve">Desvio padrão experimental da média das leituras: </t>
        </r>
        <r>
          <rPr>
            <b/>
            <sz val="9"/>
            <color indexed="81"/>
            <rFont val="Symbol"/>
            <family val="1"/>
            <charset val="2"/>
          </rPr>
          <t>Ö</t>
        </r>
        <r>
          <rPr>
            <b/>
            <sz val="9"/>
            <color indexed="81"/>
            <rFont val="Segoe UI"/>
            <family val="2"/>
          </rPr>
          <t xml:space="preserve"> </t>
        </r>
        <r>
          <rPr>
            <sz val="9"/>
            <color indexed="81"/>
            <rFont val="Symbol"/>
            <family val="1"/>
            <charset val="2"/>
          </rPr>
          <t>S</t>
        </r>
        <r>
          <rPr>
            <b/>
            <sz val="9"/>
            <color indexed="81"/>
            <rFont val="Segoe UI"/>
            <family val="2"/>
          </rPr>
          <t>(x</t>
        </r>
        <r>
          <rPr>
            <b/>
            <vertAlign val="subscript"/>
            <sz val="9"/>
            <color indexed="81"/>
            <rFont val="Segoe UI"/>
            <family val="2"/>
          </rPr>
          <t>i</t>
        </r>
        <r>
          <rPr>
            <b/>
            <sz val="9"/>
            <color indexed="81"/>
            <rFont val="Segoe UI"/>
            <family val="2"/>
          </rPr>
          <t xml:space="preserve"> - x</t>
        </r>
        <r>
          <rPr>
            <b/>
            <vertAlign val="subscript"/>
            <sz val="9"/>
            <color indexed="81"/>
            <rFont val="Segoe UI"/>
            <family val="2"/>
          </rPr>
          <t>médio</t>
        </r>
        <r>
          <rPr>
            <b/>
            <sz val="9"/>
            <color indexed="81"/>
            <rFont val="Segoe UI"/>
            <family val="2"/>
          </rPr>
          <t>)</t>
        </r>
        <r>
          <rPr>
            <b/>
            <vertAlign val="superscript"/>
            <sz val="9"/>
            <color indexed="81"/>
            <rFont val="Segoe UI"/>
            <family val="2"/>
          </rPr>
          <t>2</t>
        </r>
        <r>
          <rPr>
            <b/>
            <sz val="9"/>
            <color indexed="81"/>
            <rFont val="Segoe UI"/>
            <family val="2"/>
          </rPr>
          <t>/(n - 1)</t>
        </r>
      </text>
    </comment>
    <comment ref="C39" authorId="0" shapeId="0" xr:uid="{00000000-0006-0000-0300-000018000000}">
      <text>
        <r>
          <rPr>
            <b/>
            <sz val="9"/>
            <color indexed="81"/>
            <rFont val="Segoe UI"/>
            <family val="2"/>
          </rPr>
          <t xml:space="preserve">Seleciona na aba Registro de Dados a resolução do espectrofotômetro, em absorbância. </t>
        </r>
        <r>
          <rPr>
            <sz val="9"/>
            <color indexed="81"/>
            <rFont val="Segoe UI"/>
            <family val="2"/>
          </rPr>
          <t xml:space="preserve">
</t>
        </r>
      </text>
    </comment>
    <comment ref="O39" authorId="0" shapeId="0" xr:uid="{00000000-0006-0000-0300-000019000000}">
      <text>
        <r>
          <rPr>
            <b/>
            <sz val="9"/>
            <color indexed="81"/>
            <rFont val="Segoe UL9"/>
          </rPr>
          <t xml:space="preserve">Divisor </t>
        </r>
        <r>
          <rPr>
            <b/>
            <sz val="9"/>
            <color indexed="81"/>
            <rFont val="Symbol"/>
            <family val="1"/>
            <charset val="2"/>
          </rPr>
          <t>= Ö</t>
        </r>
        <r>
          <rPr>
            <b/>
            <sz val="9"/>
            <color indexed="81"/>
            <rFont val="Segoe UI"/>
            <family val="2"/>
          </rPr>
          <t>12</t>
        </r>
      </text>
    </comment>
    <comment ref="Y40" authorId="0" shapeId="0" xr:uid="{00000000-0006-0000-0300-00001A000000}">
      <text>
        <r>
          <rPr>
            <b/>
            <sz val="9"/>
            <color indexed="81"/>
            <rFont val="Segoe UI"/>
            <family val="2"/>
          </rPr>
          <t xml:space="preserve">Se a incerteza padrão da componente de repetitividade for nula, o grau de liberdade dessa componente é infinito, acarretando o mesmo para o grau de liberdade efetivo do resultado final.
Quando o grau de liberdade for maior que 1000000, adota-se grau de liberdade infinito, uma vez que para grau 1000000 o fator de cobertura é praticamente 2 (aproximação de 2,00000494). Isto foi feito apenas para evitar o aparecimento de valores em notação científica, modo que não compatibiliza com o símbolo infinito, exibido em letra Symbol - a única que viabiliza o símbolo de infinito. </t>
        </r>
      </text>
    </comment>
    <comment ref="AC41" authorId="0" shapeId="0" xr:uid="{00000000-0006-0000-0300-00001B000000}">
      <text>
        <r>
          <rPr>
            <b/>
            <sz val="9"/>
            <color indexed="81"/>
            <rFont val="Segoe UI"/>
            <family val="2"/>
          </rPr>
          <t>Manter as células T, U, V com estilo Symbol, para permitir o símbolo de infinito.</t>
        </r>
        <r>
          <rPr>
            <sz val="9"/>
            <color indexed="81"/>
            <rFont val="Segoe UI"/>
            <family val="2"/>
          </rPr>
          <t xml:space="preserve">
</t>
        </r>
      </text>
    </comment>
    <comment ref="C42" authorId="0" shapeId="0" xr:uid="{00000000-0006-0000-0300-00001C000000}">
      <text>
        <r>
          <rPr>
            <b/>
            <sz val="9"/>
            <color indexed="81"/>
            <rFont val="Segoe UI"/>
            <family val="2"/>
          </rPr>
          <t>Incerteza combinada multiplicada pelo fator de cobertura obtido para gerar probabilidade de 95,45%.</t>
        </r>
        <r>
          <rPr>
            <sz val="9"/>
            <color indexed="81"/>
            <rFont val="Segoe UI"/>
            <family val="2"/>
          </rPr>
          <t xml:space="preserve">
</t>
        </r>
      </text>
    </comment>
    <comment ref="Y42" authorId="0" shapeId="0" xr:uid="{00000000-0006-0000-0300-00001D000000}">
      <text>
        <r>
          <rPr>
            <b/>
            <sz val="9"/>
            <color indexed="81"/>
            <rFont val="Segoe UI"/>
            <family val="2"/>
          </rPr>
          <t xml:space="preserve">Para probabilidade 95,45% e grau de liberdade efetivo infinito, o fator de cobertura é igual a 2.
Também, quando o grau de liberdade efetivo for maior que 1000000, aproxima-se o fator de cobertura para 2,000, arredondamento de 2,00000494, valor com 5 casas decimais nulas. Nos demais casos o fator é sempre calculado.
</t>
        </r>
      </text>
    </comment>
    <comment ref="C43" authorId="0" shapeId="0" xr:uid="{00000000-0006-0000-0300-00001E000000}">
      <text>
        <r>
          <rPr>
            <b/>
            <sz val="9"/>
            <color indexed="81"/>
            <rFont val="Segoe UI"/>
            <family val="2"/>
          </rPr>
          <t>Critério de arredondamento: se o erro de arredondamento para baixo for maior que 5%, arredonda para cima com um algarismo significativo. Se for menor que 5% arredonda para baixo com um algarismo significativo.</t>
        </r>
      </text>
    </comment>
    <comment ref="Y50" authorId="0" shapeId="0" xr:uid="{00000000-0006-0000-0300-00001F000000}">
      <text>
        <r>
          <rPr>
            <b/>
            <sz val="9"/>
            <color indexed="81"/>
            <rFont val="Segoe UI"/>
            <family val="2"/>
          </rPr>
          <t xml:space="preserve">Não admite grau de liberdade para uma medida. Somente a partir de duas medidas. </t>
        </r>
      </text>
    </comment>
    <comment ref="C53" authorId="0" shapeId="0" xr:uid="{00000000-0006-0000-0300-000020000000}">
      <text>
        <r>
          <rPr>
            <b/>
            <sz val="9"/>
            <color indexed="81"/>
            <rFont val="Segoe UI"/>
            <family val="2"/>
          </rPr>
          <t>Contabiliza a deriva entre a calibração original pela Starna e a última calibração. Toma a deriva mensal média daquele período e estima a deriva proporcional ao número de meses desde o mês da última calibração.
Conforme SP 260-140, os filtros são pré-sazonados, de forma que a única deriva ocorre por contaminação da superfície, reduzindo a transmitância (aumentando a absorbância).</t>
        </r>
      </text>
    </comment>
    <comment ref="C54" authorId="0" shapeId="0" xr:uid="{00000000-0006-0000-0300-000021000000}">
      <text>
        <r>
          <rPr>
            <b/>
            <sz val="9"/>
            <color indexed="81"/>
            <rFont val="Segoe UI"/>
            <family val="2"/>
          </rPr>
          <t xml:space="preserve">Desvio padrão experimental da média das leituras: </t>
        </r>
        <r>
          <rPr>
            <b/>
            <sz val="9"/>
            <color indexed="81"/>
            <rFont val="Symbol"/>
            <family val="1"/>
            <charset val="2"/>
          </rPr>
          <t>Ö</t>
        </r>
        <r>
          <rPr>
            <b/>
            <sz val="9"/>
            <color indexed="81"/>
            <rFont val="Segoe UI"/>
            <family val="2"/>
          </rPr>
          <t xml:space="preserve"> </t>
        </r>
        <r>
          <rPr>
            <sz val="9"/>
            <color indexed="81"/>
            <rFont val="Symbol"/>
            <family val="1"/>
            <charset val="2"/>
          </rPr>
          <t>S</t>
        </r>
        <r>
          <rPr>
            <b/>
            <sz val="9"/>
            <color indexed="81"/>
            <rFont val="Segoe UI"/>
            <family val="2"/>
          </rPr>
          <t>(x</t>
        </r>
        <r>
          <rPr>
            <b/>
            <vertAlign val="subscript"/>
            <sz val="9"/>
            <color indexed="81"/>
            <rFont val="Segoe UI"/>
            <family val="2"/>
          </rPr>
          <t>i</t>
        </r>
        <r>
          <rPr>
            <b/>
            <sz val="9"/>
            <color indexed="81"/>
            <rFont val="Segoe UI"/>
            <family val="2"/>
          </rPr>
          <t xml:space="preserve"> - x</t>
        </r>
        <r>
          <rPr>
            <b/>
            <vertAlign val="subscript"/>
            <sz val="9"/>
            <color indexed="81"/>
            <rFont val="Segoe UI"/>
            <family val="2"/>
          </rPr>
          <t>médio</t>
        </r>
        <r>
          <rPr>
            <b/>
            <sz val="9"/>
            <color indexed="81"/>
            <rFont val="Segoe UI"/>
            <family val="2"/>
          </rPr>
          <t>)</t>
        </r>
        <r>
          <rPr>
            <b/>
            <vertAlign val="superscript"/>
            <sz val="9"/>
            <color indexed="81"/>
            <rFont val="Segoe UI"/>
            <family val="2"/>
          </rPr>
          <t>2</t>
        </r>
        <r>
          <rPr>
            <b/>
            <sz val="9"/>
            <color indexed="81"/>
            <rFont val="Segoe UI"/>
            <family val="2"/>
          </rPr>
          <t>/(n - 1)</t>
        </r>
      </text>
    </comment>
    <comment ref="C55" authorId="0" shapeId="0" xr:uid="{00000000-0006-0000-0300-000022000000}">
      <text>
        <r>
          <rPr>
            <b/>
            <sz val="9"/>
            <color indexed="81"/>
            <rFont val="Segoe UI"/>
            <family val="2"/>
          </rPr>
          <t xml:space="preserve">Seleciona na aba Registro de Dados a resolução do espectrofotômetro, em absorbância. </t>
        </r>
        <r>
          <rPr>
            <sz val="9"/>
            <color indexed="81"/>
            <rFont val="Segoe UI"/>
            <family val="2"/>
          </rPr>
          <t xml:space="preserve">
</t>
        </r>
      </text>
    </comment>
    <comment ref="O55" authorId="0" shapeId="0" xr:uid="{00000000-0006-0000-0300-000023000000}">
      <text>
        <r>
          <rPr>
            <b/>
            <sz val="9"/>
            <color indexed="81"/>
            <rFont val="Segoe UL9"/>
          </rPr>
          <t xml:space="preserve">Divisor </t>
        </r>
        <r>
          <rPr>
            <b/>
            <sz val="9"/>
            <color indexed="81"/>
            <rFont val="Symbol"/>
            <family val="1"/>
            <charset val="2"/>
          </rPr>
          <t>= Ö</t>
        </r>
        <r>
          <rPr>
            <b/>
            <sz val="9"/>
            <color indexed="81"/>
            <rFont val="Segoe UI"/>
            <family val="2"/>
          </rPr>
          <t>12</t>
        </r>
      </text>
    </comment>
    <comment ref="Y56" authorId="0" shapeId="0" xr:uid="{00000000-0006-0000-0300-000024000000}">
      <text>
        <r>
          <rPr>
            <b/>
            <sz val="9"/>
            <color indexed="81"/>
            <rFont val="Segoe UI"/>
            <family val="2"/>
          </rPr>
          <t xml:space="preserve">Se a incerteza padrão da componente de repetitividade for nula, o grau de liberdade dessa componente é infinito, acarretando o mesmo para o grau de liberdade efetivo do resultado final.
Quando o grau de liberdade for maior que 1000000, adota-se grau de liberdade infinito, uma vez que para grau 1000000 o fator de cobertura é praticamente 2 (aproximação de 2,00000494). Isto foi feito apenas para evitar o aparecimento de valores em notação científica, modo que não compatibiliza com o símbolo infinito, exibido em letra Symbol - a única que viabiliza o símbolo de infinito. </t>
        </r>
      </text>
    </comment>
    <comment ref="AC57" authorId="0" shapeId="0" xr:uid="{00000000-0006-0000-0300-000025000000}">
      <text>
        <r>
          <rPr>
            <b/>
            <sz val="9"/>
            <color indexed="81"/>
            <rFont val="Segoe UI"/>
            <family val="2"/>
          </rPr>
          <t>Manter as células T, U, V com estilo Symbol, para permitir o símbolo de infinito.</t>
        </r>
        <r>
          <rPr>
            <sz val="9"/>
            <color indexed="81"/>
            <rFont val="Segoe UI"/>
            <family val="2"/>
          </rPr>
          <t xml:space="preserve">
</t>
        </r>
      </text>
    </comment>
    <comment ref="C58" authorId="0" shapeId="0" xr:uid="{00000000-0006-0000-0300-000026000000}">
      <text>
        <r>
          <rPr>
            <b/>
            <sz val="9"/>
            <color indexed="81"/>
            <rFont val="Segoe UI"/>
            <family val="2"/>
          </rPr>
          <t>Incerteza combinada multiplicada pelo fator de cobertura obtido para gerar probabilidade de 95,45%.</t>
        </r>
        <r>
          <rPr>
            <sz val="9"/>
            <color indexed="81"/>
            <rFont val="Segoe UI"/>
            <family val="2"/>
          </rPr>
          <t xml:space="preserve">
</t>
        </r>
      </text>
    </comment>
    <comment ref="Y58" authorId="0" shapeId="0" xr:uid="{00000000-0006-0000-0300-000027000000}">
      <text>
        <r>
          <rPr>
            <b/>
            <sz val="9"/>
            <color indexed="81"/>
            <rFont val="Segoe UI"/>
            <family val="2"/>
          </rPr>
          <t xml:space="preserve">Para probabilidade 95,45% e grau de liberdade efetivo infinito, o fator de cobertura é igual a 2.
Também, quando o grau de liberdade efetivo for maior que 1000000, aproxima-se o fator de cobertura para 2,000, arredondamento de 2,00000494, valor com 5 casas decimais nulas. Nos demais casos o fator é sempre calculado.
</t>
        </r>
      </text>
    </comment>
    <comment ref="C59" authorId="0" shapeId="0" xr:uid="{00000000-0006-0000-0300-000028000000}">
      <text>
        <r>
          <rPr>
            <b/>
            <sz val="9"/>
            <color indexed="81"/>
            <rFont val="Segoe UI"/>
            <family val="2"/>
          </rPr>
          <t>Critério de arredondamento: se o erro de arredondamento para baixo for maior que 5%, arredonda para cima com um algarismo significativo. Se for menor que 5% arredonda para baixo com um algarismo significativo.</t>
        </r>
      </text>
    </comment>
    <comment ref="Y63" authorId="0" shapeId="0" xr:uid="{00000000-0006-0000-0300-000029000000}">
      <text>
        <r>
          <rPr>
            <b/>
            <sz val="9"/>
            <color indexed="81"/>
            <rFont val="Segoe UI"/>
            <family val="2"/>
          </rPr>
          <t xml:space="preserve">Não admite grau de liberdade para uma medida. Somente a partir de duas medidas. </t>
        </r>
      </text>
    </comment>
    <comment ref="C66" authorId="0" shapeId="0" xr:uid="{00000000-0006-0000-0300-00002A000000}">
      <text>
        <r>
          <rPr>
            <b/>
            <sz val="9"/>
            <color indexed="81"/>
            <rFont val="Segoe UI"/>
            <family val="2"/>
          </rPr>
          <t>Contabiliza a deriva entre a calibração original pela Starna e a última calibração. Toma a deriva mensal média daquele período e estima a deriva proporcional ao número de meses desde o mês da última calibração.
Conforme SP 260-140, os filtros são pré-sazonados, de forma que a única deriva ocorre por contaminação da superfície, reduzindo a transmitância (aumentando a absorbância).</t>
        </r>
      </text>
    </comment>
    <comment ref="C67" authorId="0" shapeId="0" xr:uid="{00000000-0006-0000-0300-00002B000000}">
      <text>
        <r>
          <rPr>
            <b/>
            <sz val="9"/>
            <color indexed="81"/>
            <rFont val="Segoe UI"/>
            <family val="2"/>
          </rPr>
          <t xml:space="preserve">Desvio padrão experimental da média das leituras: </t>
        </r>
        <r>
          <rPr>
            <b/>
            <sz val="9"/>
            <color indexed="81"/>
            <rFont val="Symbol"/>
            <family val="1"/>
            <charset val="2"/>
          </rPr>
          <t>Ö</t>
        </r>
        <r>
          <rPr>
            <b/>
            <sz val="9"/>
            <color indexed="81"/>
            <rFont val="Segoe UI"/>
            <family val="2"/>
          </rPr>
          <t xml:space="preserve"> </t>
        </r>
        <r>
          <rPr>
            <sz val="9"/>
            <color indexed="81"/>
            <rFont val="Symbol"/>
            <family val="1"/>
            <charset val="2"/>
          </rPr>
          <t>S</t>
        </r>
        <r>
          <rPr>
            <b/>
            <sz val="9"/>
            <color indexed="81"/>
            <rFont val="Segoe UI"/>
            <family val="2"/>
          </rPr>
          <t>(x</t>
        </r>
        <r>
          <rPr>
            <b/>
            <vertAlign val="subscript"/>
            <sz val="9"/>
            <color indexed="81"/>
            <rFont val="Segoe UI"/>
            <family val="2"/>
          </rPr>
          <t>i</t>
        </r>
        <r>
          <rPr>
            <b/>
            <sz val="9"/>
            <color indexed="81"/>
            <rFont val="Segoe UI"/>
            <family val="2"/>
          </rPr>
          <t xml:space="preserve"> - x</t>
        </r>
        <r>
          <rPr>
            <b/>
            <vertAlign val="subscript"/>
            <sz val="9"/>
            <color indexed="81"/>
            <rFont val="Segoe UI"/>
            <family val="2"/>
          </rPr>
          <t>médio</t>
        </r>
        <r>
          <rPr>
            <b/>
            <sz val="9"/>
            <color indexed="81"/>
            <rFont val="Segoe UI"/>
            <family val="2"/>
          </rPr>
          <t>)</t>
        </r>
        <r>
          <rPr>
            <b/>
            <vertAlign val="superscript"/>
            <sz val="9"/>
            <color indexed="81"/>
            <rFont val="Segoe UI"/>
            <family val="2"/>
          </rPr>
          <t>2</t>
        </r>
        <r>
          <rPr>
            <b/>
            <sz val="9"/>
            <color indexed="81"/>
            <rFont val="Segoe UI"/>
            <family val="2"/>
          </rPr>
          <t>/(n - 1)</t>
        </r>
      </text>
    </comment>
    <comment ref="C68" authorId="0" shapeId="0" xr:uid="{00000000-0006-0000-0300-00002C000000}">
      <text>
        <r>
          <rPr>
            <b/>
            <sz val="9"/>
            <color indexed="81"/>
            <rFont val="Segoe UI"/>
            <family val="2"/>
          </rPr>
          <t xml:space="preserve">Seleciona na aba Registro de Dados a resolução do espectrofotômetro, em absorbância. </t>
        </r>
        <r>
          <rPr>
            <sz val="9"/>
            <color indexed="81"/>
            <rFont val="Segoe UI"/>
            <family val="2"/>
          </rPr>
          <t xml:space="preserve">
</t>
        </r>
      </text>
    </comment>
    <comment ref="O68" authorId="0" shapeId="0" xr:uid="{00000000-0006-0000-0300-00002D000000}">
      <text>
        <r>
          <rPr>
            <b/>
            <sz val="9"/>
            <color indexed="81"/>
            <rFont val="Segoe UL9"/>
          </rPr>
          <t xml:space="preserve">Divisor </t>
        </r>
        <r>
          <rPr>
            <b/>
            <sz val="9"/>
            <color indexed="81"/>
            <rFont val="Symbol"/>
            <family val="1"/>
            <charset val="2"/>
          </rPr>
          <t>= Ö</t>
        </r>
        <r>
          <rPr>
            <b/>
            <sz val="9"/>
            <color indexed="81"/>
            <rFont val="Segoe UI"/>
            <family val="2"/>
          </rPr>
          <t>12</t>
        </r>
      </text>
    </comment>
    <comment ref="Y69" authorId="0" shapeId="0" xr:uid="{00000000-0006-0000-0300-00002E000000}">
      <text>
        <r>
          <rPr>
            <b/>
            <sz val="9"/>
            <color indexed="81"/>
            <rFont val="Segoe UI"/>
            <family val="2"/>
          </rPr>
          <t xml:space="preserve">Se a incerteza padrão da componente de repetitividade for nula, o grau de liberdade dessa componente é infinito, acarretando o mesmo para o grau de liberdade efetivo do resultado final.
Quando o grau de liberdade for maior que 1000000, adota-se grau de liberdade infinito, uma vez que para grau 1000000 o fator de cobertura é praticamente 2 (aproximação de 2,00000494). Isto foi feito apenas para evitar o aparecimento de valores em notação científica, modo que não compatibiliza com o símbolo infinito, exibido em letra Symbol - a única que viabiliza o símbolo de infinito. </t>
        </r>
      </text>
    </comment>
    <comment ref="AC70" authorId="0" shapeId="0" xr:uid="{00000000-0006-0000-0300-00002F000000}">
      <text>
        <r>
          <rPr>
            <b/>
            <sz val="9"/>
            <color indexed="81"/>
            <rFont val="Segoe UI"/>
            <family val="2"/>
          </rPr>
          <t>Manter as células T, U, V com estilo Symbol, para permitir o símbolo de infinito.</t>
        </r>
        <r>
          <rPr>
            <sz val="9"/>
            <color indexed="81"/>
            <rFont val="Segoe UI"/>
            <family val="2"/>
          </rPr>
          <t xml:space="preserve">
</t>
        </r>
      </text>
    </comment>
    <comment ref="C71" authorId="0" shapeId="0" xr:uid="{00000000-0006-0000-0300-000030000000}">
      <text>
        <r>
          <rPr>
            <b/>
            <sz val="9"/>
            <color indexed="81"/>
            <rFont val="Segoe UI"/>
            <family val="2"/>
          </rPr>
          <t>Incerteza combinada multiplicada pelo fator de cobertura obtido para gerar probabilidade de 95,45%.</t>
        </r>
        <r>
          <rPr>
            <sz val="9"/>
            <color indexed="81"/>
            <rFont val="Segoe UI"/>
            <family val="2"/>
          </rPr>
          <t xml:space="preserve">
</t>
        </r>
      </text>
    </comment>
    <comment ref="Y71" authorId="0" shapeId="0" xr:uid="{00000000-0006-0000-0300-000031000000}">
      <text>
        <r>
          <rPr>
            <b/>
            <sz val="9"/>
            <color indexed="81"/>
            <rFont val="Segoe UI"/>
            <family val="2"/>
          </rPr>
          <t xml:space="preserve">Para probabilidade 95,45% e grau de liberdade efetivo infinito, o fator de cobertura é igual a 2.
Também, quando o grau de liberdade efetivo for maior que 1000000, aproxima-se o fator de cobertura para 2,000, arredondamento de 2,00000494, valor com 5 casas decimais nulas. Nos demais casos o fator é sempre calculado.
</t>
        </r>
      </text>
    </comment>
    <comment ref="C72" authorId="0" shapeId="0" xr:uid="{00000000-0006-0000-0300-000032000000}">
      <text>
        <r>
          <rPr>
            <b/>
            <sz val="9"/>
            <color indexed="81"/>
            <rFont val="Segoe UI"/>
            <family val="2"/>
          </rPr>
          <t>Critério de arredondamento: se o erro de arredondamento para baixo for maior que 5%, arredonda para cima com um algarismo significativo. Se for menor que 5% arredonda para baixo com um algarismo significativo.</t>
        </r>
      </text>
    </comment>
    <comment ref="Y76" authorId="0" shapeId="0" xr:uid="{00000000-0006-0000-0300-000033000000}">
      <text>
        <r>
          <rPr>
            <b/>
            <sz val="9"/>
            <color indexed="81"/>
            <rFont val="Segoe UI"/>
            <family val="2"/>
          </rPr>
          <t xml:space="preserve">Não admite grau de liberdade para uma medida. Somente a partir de duas medidas. </t>
        </r>
      </text>
    </comment>
    <comment ref="C79" authorId="0" shapeId="0" xr:uid="{00000000-0006-0000-0300-000034000000}">
      <text>
        <r>
          <rPr>
            <b/>
            <sz val="9"/>
            <color indexed="81"/>
            <rFont val="Segoe UI"/>
            <family val="2"/>
          </rPr>
          <t>Contabiliza a deriva entre a calibração original pela Starna e a última calibração. Toma a deriva mensal média daquele período e estima a deriva proporcional ao número de meses desde o mês da última calibração.
Conforme SP 260-140, os filtros são pré-sazonados, de forma que a única deriva ocorre por contaminação da superfície, reduzindo a transmitância (aumentando a absorbância).</t>
        </r>
      </text>
    </comment>
    <comment ref="C80" authorId="0" shapeId="0" xr:uid="{00000000-0006-0000-0300-000035000000}">
      <text>
        <r>
          <rPr>
            <b/>
            <sz val="9"/>
            <color indexed="81"/>
            <rFont val="Segoe UI"/>
            <family val="2"/>
          </rPr>
          <t xml:space="preserve">Desvio padrão experimental da média das leituras: </t>
        </r>
        <r>
          <rPr>
            <b/>
            <sz val="9"/>
            <color indexed="81"/>
            <rFont val="Symbol"/>
            <family val="1"/>
            <charset val="2"/>
          </rPr>
          <t>Ö</t>
        </r>
        <r>
          <rPr>
            <b/>
            <sz val="9"/>
            <color indexed="81"/>
            <rFont val="Segoe UI"/>
            <family val="2"/>
          </rPr>
          <t xml:space="preserve"> </t>
        </r>
        <r>
          <rPr>
            <sz val="9"/>
            <color indexed="81"/>
            <rFont val="Symbol"/>
            <family val="1"/>
            <charset val="2"/>
          </rPr>
          <t>S</t>
        </r>
        <r>
          <rPr>
            <b/>
            <sz val="9"/>
            <color indexed="81"/>
            <rFont val="Segoe UI"/>
            <family val="2"/>
          </rPr>
          <t>(x</t>
        </r>
        <r>
          <rPr>
            <b/>
            <vertAlign val="subscript"/>
            <sz val="9"/>
            <color indexed="81"/>
            <rFont val="Segoe UI"/>
            <family val="2"/>
          </rPr>
          <t>i</t>
        </r>
        <r>
          <rPr>
            <b/>
            <sz val="9"/>
            <color indexed="81"/>
            <rFont val="Segoe UI"/>
            <family val="2"/>
          </rPr>
          <t xml:space="preserve"> - x</t>
        </r>
        <r>
          <rPr>
            <b/>
            <vertAlign val="subscript"/>
            <sz val="9"/>
            <color indexed="81"/>
            <rFont val="Segoe UI"/>
            <family val="2"/>
          </rPr>
          <t>médio</t>
        </r>
        <r>
          <rPr>
            <b/>
            <sz val="9"/>
            <color indexed="81"/>
            <rFont val="Segoe UI"/>
            <family val="2"/>
          </rPr>
          <t>)</t>
        </r>
        <r>
          <rPr>
            <b/>
            <vertAlign val="superscript"/>
            <sz val="9"/>
            <color indexed="81"/>
            <rFont val="Segoe UI"/>
            <family val="2"/>
          </rPr>
          <t>2</t>
        </r>
        <r>
          <rPr>
            <b/>
            <sz val="9"/>
            <color indexed="81"/>
            <rFont val="Segoe UI"/>
            <family val="2"/>
          </rPr>
          <t>/(n - 1)</t>
        </r>
      </text>
    </comment>
    <comment ref="C81" authorId="0" shapeId="0" xr:uid="{00000000-0006-0000-0300-000036000000}">
      <text>
        <r>
          <rPr>
            <b/>
            <sz val="9"/>
            <color indexed="81"/>
            <rFont val="Segoe UI"/>
            <family val="2"/>
          </rPr>
          <t xml:space="preserve">Seleciona na aba Registro de Dados a resolução do espectrofotômetro, em absorbância. </t>
        </r>
        <r>
          <rPr>
            <sz val="9"/>
            <color indexed="81"/>
            <rFont val="Segoe UI"/>
            <family val="2"/>
          </rPr>
          <t xml:space="preserve">
</t>
        </r>
      </text>
    </comment>
    <comment ref="O81" authorId="0" shapeId="0" xr:uid="{00000000-0006-0000-0300-000037000000}">
      <text>
        <r>
          <rPr>
            <b/>
            <sz val="9"/>
            <color indexed="81"/>
            <rFont val="Segoe UL9"/>
          </rPr>
          <t xml:space="preserve">Divisor </t>
        </r>
        <r>
          <rPr>
            <b/>
            <sz val="9"/>
            <color indexed="81"/>
            <rFont val="Symbol"/>
            <family val="1"/>
            <charset val="2"/>
          </rPr>
          <t>= Ö</t>
        </r>
        <r>
          <rPr>
            <b/>
            <sz val="9"/>
            <color indexed="81"/>
            <rFont val="Segoe UI"/>
            <family val="2"/>
          </rPr>
          <t>12</t>
        </r>
      </text>
    </comment>
    <comment ref="Y82" authorId="0" shapeId="0" xr:uid="{00000000-0006-0000-0300-000038000000}">
      <text>
        <r>
          <rPr>
            <b/>
            <sz val="9"/>
            <color indexed="81"/>
            <rFont val="Segoe UI"/>
            <family val="2"/>
          </rPr>
          <t xml:space="preserve">Se a incerteza padrão da componente de repetitividade for nula, o grau de liberdade dessa componente é infinito, acarretando o mesmo para o grau de liberdade efetivo do resultado final.
Quando o grau de liberdade for maior que 1000000, adota-se grau de liberdade infinito, uma vez que para grau 1000000 o fator de cobertura é praticamente 2 (aproximação de 2,00000494). Isto foi feito apenas para evitar o aparecimento de valores em notação científica, modo que não compatibiliza com o símbolo infinito, exibido em letra Symbol - a única que viabiliza o símbolo de infinito. </t>
        </r>
      </text>
    </comment>
    <comment ref="AC83" authorId="0" shapeId="0" xr:uid="{00000000-0006-0000-0300-000039000000}">
      <text>
        <r>
          <rPr>
            <b/>
            <sz val="9"/>
            <color indexed="81"/>
            <rFont val="Segoe UI"/>
            <family val="2"/>
          </rPr>
          <t>Manter as células T, U, V com estilo Symbol, para permitir o símbolo de infinito.</t>
        </r>
        <r>
          <rPr>
            <sz val="9"/>
            <color indexed="81"/>
            <rFont val="Segoe UI"/>
            <family val="2"/>
          </rPr>
          <t xml:space="preserve">
</t>
        </r>
      </text>
    </comment>
    <comment ref="C84" authorId="0" shapeId="0" xr:uid="{00000000-0006-0000-0300-00003A000000}">
      <text>
        <r>
          <rPr>
            <b/>
            <sz val="9"/>
            <color indexed="81"/>
            <rFont val="Segoe UI"/>
            <family val="2"/>
          </rPr>
          <t>Incerteza combinada multiplicada pelo fator de cobertura obtido para gerar probabilidade de 95,45%.</t>
        </r>
        <r>
          <rPr>
            <sz val="9"/>
            <color indexed="81"/>
            <rFont val="Segoe UI"/>
            <family val="2"/>
          </rPr>
          <t xml:space="preserve">
</t>
        </r>
      </text>
    </comment>
    <comment ref="Y84" authorId="0" shapeId="0" xr:uid="{00000000-0006-0000-0300-00003B000000}">
      <text>
        <r>
          <rPr>
            <b/>
            <sz val="9"/>
            <color indexed="81"/>
            <rFont val="Segoe UI"/>
            <family val="2"/>
          </rPr>
          <t xml:space="preserve">Para probabilidade 95,45% e grau de liberdade efetivo infinito, o fator de cobertura é igual a 2.
Também, quando o grau de liberdade efetivo for maior que 1000000, aproxima-se o fator de cobertura para 2,000, arredondamento de 2,00000494, valor com 5 casas decimais nulas. Nos demais casos o fator é sempre calculado.
</t>
        </r>
      </text>
    </comment>
    <comment ref="C85" authorId="0" shapeId="0" xr:uid="{00000000-0006-0000-0300-00003C000000}">
      <text>
        <r>
          <rPr>
            <b/>
            <sz val="9"/>
            <color indexed="81"/>
            <rFont val="Segoe UI"/>
            <family val="2"/>
          </rPr>
          <t>Critério de arredondamento: se o erro de arredondamento para baixo for maior que 5%, arredonda para cima com um algarismo significativo. Se for menor que 5% arredonda para baixo com um algarismo significativo.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Oswaldo</author>
  </authors>
  <commentList>
    <comment ref="E5" authorId="0" shapeId="0" xr:uid="{00000000-0006-0000-0400-000001000000}">
      <text>
        <r>
          <rPr>
            <b/>
            <sz val="9"/>
            <color indexed="81"/>
            <rFont val="Segoe UI"/>
            <family val="2"/>
          </rPr>
          <t>Largura de banda espectral</t>
        </r>
      </text>
    </comment>
    <comment ref="G5" authorId="0" shapeId="0" xr:uid="{00000000-0006-0000-0400-000002000000}">
      <text>
        <r>
          <rPr>
            <b/>
            <sz val="9"/>
            <color indexed="81"/>
            <rFont val="Segoe UI"/>
            <family val="2"/>
          </rPr>
          <t>Vide certificados de calibração.</t>
        </r>
      </text>
    </comment>
    <comment ref="L5" authorId="0" shapeId="0" xr:uid="{00000000-0006-0000-0400-000003000000}">
      <text>
        <r>
          <rPr>
            <b/>
            <sz val="9"/>
            <color indexed="81"/>
            <rFont val="Segoe UI"/>
            <family val="2"/>
          </rPr>
          <t>Para K = 2. Vide certificado de calibração</t>
        </r>
      </text>
    </comment>
    <comment ref="U5" authorId="0" shapeId="0" xr:uid="{00000000-0006-0000-0400-000004000000}">
      <text>
        <r>
          <rPr>
            <b/>
            <sz val="9"/>
            <color indexed="81"/>
            <rFont val="Segoe UI"/>
            <family val="2"/>
          </rPr>
          <t>Largura de banda espectral</t>
        </r>
      </text>
    </comment>
    <comment ref="W5" authorId="0" shapeId="0" xr:uid="{00000000-0006-0000-0400-000005000000}">
      <text>
        <r>
          <rPr>
            <b/>
            <sz val="9"/>
            <color indexed="81"/>
            <rFont val="Segoe UI"/>
            <family val="2"/>
          </rPr>
          <t>Vide certificados de calibração.</t>
        </r>
      </text>
    </comment>
    <comment ref="AB5" authorId="0" shapeId="0" xr:uid="{00000000-0006-0000-0400-000006000000}">
      <text>
        <r>
          <rPr>
            <b/>
            <sz val="9"/>
            <color indexed="81"/>
            <rFont val="Segoe UI"/>
            <family val="2"/>
          </rPr>
          <t>Para K = 2. Vide certificado de calibração</t>
        </r>
      </text>
    </comment>
    <comment ref="E57" authorId="0" shapeId="0" xr:uid="{00000000-0006-0000-0400-000007000000}">
      <text>
        <r>
          <rPr>
            <b/>
            <sz val="9"/>
            <color indexed="81"/>
            <rFont val="Segoe UI"/>
            <family val="2"/>
          </rPr>
          <t>Largura de banda espectral</t>
        </r>
      </text>
    </comment>
    <comment ref="F57" authorId="0" shapeId="0" xr:uid="{00000000-0006-0000-0400-000008000000}">
      <text>
        <r>
          <rPr>
            <b/>
            <sz val="9"/>
            <color indexed="81"/>
            <rFont val="Segoe UI"/>
            <family val="2"/>
          </rPr>
          <t>Conforme certificado de calibração .</t>
        </r>
      </text>
    </comment>
    <comment ref="K58" authorId="0" shapeId="0" xr:uid="{0740E716-90EB-4CCC-8A1D-AE9D7CAE6AA8}">
      <text>
        <r>
          <rPr>
            <b/>
            <sz val="9"/>
            <color indexed="81"/>
            <rFont val="Segoe UI"/>
            <family val="2"/>
          </rPr>
          <t>Comprimento de onda 385,8 nm não foi calibrado.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Oswaldo</author>
  </authors>
  <commentList>
    <comment ref="E5" authorId="0" shapeId="0" xr:uid="{00000000-0006-0000-0500-000001000000}">
      <text>
        <r>
          <rPr>
            <b/>
            <sz val="9"/>
            <color indexed="81"/>
            <rFont val="Segoe UI"/>
            <family val="2"/>
          </rPr>
          <t>Largura de banda espectral</t>
        </r>
      </text>
    </comment>
    <comment ref="G5" authorId="0" shapeId="0" xr:uid="{00000000-0006-0000-0500-000002000000}">
      <text>
        <r>
          <rPr>
            <b/>
            <sz val="9"/>
            <color indexed="81"/>
            <rFont val="Segoe UI"/>
            <family val="2"/>
          </rPr>
          <t>Vide certificados de calibração.</t>
        </r>
      </text>
    </comment>
    <comment ref="L5" authorId="0" shapeId="0" xr:uid="{00000000-0006-0000-0500-000003000000}">
      <text>
        <r>
          <rPr>
            <b/>
            <sz val="9"/>
            <color indexed="81"/>
            <rFont val="Segoe UI"/>
            <family val="2"/>
          </rPr>
          <t>Para K = 2. Vide certificado de calibração</t>
        </r>
      </text>
    </comment>
    <comment ref="U5" authorId="0" shapeId="0" xr:uid="{00000000-0006-0000-0500-000004000000}">
      <text>
        <r>
          <rPr>
            <b/>
            <sz val="9"/>
            <color indexed="81"/>
            <rFont val="Segoe UI"/>
            <family val="2"/>
          </rPr>
          <t>Largura de banda espectral</t>
        </r>
      </text>
    </comment>
    <comment ref="W5" authorId="0" shapeId="0" xr:uid="{00000000-0006-0000-0500-000005000000}">
      <text>
        <r>
          <rPr>
            <b/>
            <sz val="9"/>
            <color indexed="81"/>
            <rFont val="Segoe UI"/>
            <family val="2"/>
          </rPr>
          <t>Vide certificados de calibração.</t>
        </r>
      </text>
    </comment>
    <comment ref="AB5" authorId="0" shapeId="0" xr:uid="{00000000-0006-0000-0500-000006000000}">
      <text>
        <r>
          <rPr>
            <b/>
            <sz val="9"/>
            <color indexed="81"/>
            <rFont val="Segoe UI"/>
            <family val="2"/>
          </rPr>
          <t>Para K = 2. Vide certificado de calibração</t>
        </r>
      </text>
    </comment>
    <comment ref="B38" authorId="0" shapeId="0" xr:uid="{EFB36877-6FB1-4106-9732-B1F6EA6BFBAD}">
      <text>
        <r>
          <rPr>
            <b/>
            <sz val="9"/>
            <color indexed="81"/>
            <rFont val="Segoe UI"/>
            <family val="2"/>
          </rPr>
          <t>Considera a última calibração de 2021, em Agosto.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Oswaldo</author>
  </authors>
  <commentList>
    <comment ref="AK9" authorId="0" shapeId="0" xr:uid="{8179BBC7-9581-48AE-A0BD-5255F98F199A}">
      <text>
        <r>
          <rPr>
            <b/>
            <sz val="9"/>
            <color indexed="81"/>
            <rFont val="Segoe UI"/>
            <family val="2"/>
          </rPr>
          <t xml:space="preserve">Não admite grau de liberdade para uma medida. Somente a partir de duas medidas. </t>
        </r>
      </text>
    </comment>
    <comment ref="U11" authorId="0" shapeId="0" xr:uid="{51E2D3D1-B92D-4790-A74E-7936766B994E}">
      <text>
        <r>
          <rPr>
            <b/>
            <sz val="9"/>
            <color indexed="81"/>
            <rFont val="Segoe UI"/>
            <family val="2"/>
          </rPr>
          <t>Divisor é o K, do certificado de calibração.</t>
        </r>
      </text>
    </comment>
    <comment ref="C12" authorId="0" shapeId="0" xr:uid="{9DAA50DF-ECAC-433A-9BF1-52B335C9C7D6}">
      <text>
        <r>
          <rPr>
            <b/>
            <sz val="9"/>
            <color indexed="81"/>
            <rFont val="Segoe UI"/>
            <family val="2"/>
          </rPr>
          <t xml:space="preserve">Incerteza da determinação do mínimo por polinômio de interpolação dos pontos ao redor do mínimo, obtido a partir do resíduo, como a incerteza experimental da média. 
</t>
        </r>
      </text>
    </comment>
    <comment ref="AK12" authorId="0" shapeId="0" xr:uid="{937088EE-C5C9-43BE-A987-A164E7DDCFBD}">
      <text>
        <r>
          <rPr>
            <b/>
            <sz val="9"/>
            <color indexed="81"/>
            <rFont val="Segoe UI"/>
            <family val="2"/>
          </rPr>
          <t>Grau de liberdade 2 devido à interpolação cúbica.</t>
        </r>
        <r>
          <rPr>
            <sz val="9"/>
            <color indexed="81"/>
            <rFont val="Segoe UI"/>
            <family val="2"/>
          </rPr>
          <t xml:space="preserve">
</t>
        </r>
      </text>
    </comment>
    <comment ref="C13" authorId="0" shapeId="0" xr:uid="{5551AE75-9B03-4142-B954-5E9A4EC1B76C}">
      <text>
        <r>
          <rPr>
            <b/>
            <sz val="9"/>
            <color indexed="81"/>
            <rFont val="Segoe UI"/>
            <family val="2"/>
          </rPr>
          <t>Se obtermos várias médias (diferentes), a sua incerteza expressa a repetitividade das medições do instrumento. 
Assim, a incerteza da média (desvio padrão experimental da média) revela a repetitividade das medições do instrumento.
Desvio padrão experimental da média das leituras (u):             uRL = [</t>
        </r>
        <r>
          <rPr>
            <b/>
            <sz val="9"/>
            <color indexed="81"/>
            <rFont val="Symbol"/>
            <family val="1"/>
            <charset val="2"/>
          </rPr>
          <t>Ö</t>
        </r>
        <r>
          <rPr>
            <b/>
            <sz val="9"/>
            <color indexed="81"/>
            <rFont val="Segoe UI"/>
            <family val="2"/>
          </rPr>
          <t xml:space="preserve"> </t>
        </r>
        <r>
          <rPr>
            <sz val="9"/>
            <color indexed="81"/>
            <rFont val="Symbol"/>
            <family val="1"/>
            <charset val="2"/>
          </rPr>
          <t>S</t>
        </r>
        <r>
          <rPr>
            <b/>
            <sz val="9"/>
            <color indexed="81"/>
            <rFont val="Segoe UI"/>
            <family val="2"/>
          </rPr>
          <t>(x</t>
        </r>
        <r>
          <rPr>
            <b/>
            <vertAlign val="subscript"/>
            <sz val="9"/>
            <color indexed="81"/>
            <rFont val="Segoe UI"/>
            <family val="2"/>
          </rPr>
          <t>i</t>
        </r>
        <r>
          <rPr>
            <b/>
            <sz val="9"/>
            <color indexed="81"/>
            <rFont val="Segoe UI"/>
            <family val="2"/>
          </rPr>
          <t xml:space="preserve"> - x</t>
        </r>
        <r>
          <rPr>
            <b/>
            <vertAlign val="subscript"/>
            <sz val="9"/>
            <color indexed="81"/>
            <rFont val="Segoe UI"/>
            <family val="2"/>
          </rPr>
          <t>médio</t>
        </r>
        <r>
          <rPr>
            <b/>
            <sz val="9"/>
            <color indexed="81"/>
            <rFont val="Segoe UI"/>
            <family val="2"/>
          </rPr>
          <t>)</t>
        </r>
        <r>
          <rPr>
            <b/>
            <vertAlign val="superscript"/>
            <sz val="9"/>
            <color indexed="81"/>
            <rFont val="Segoe UI"/>
            <family val="2"/>
          </rPr>
          <t>2</t>
        </r>
        <r>
          <rPr>
            <b/>
            <sz val="9"/>
            <color indexed="81"/>
            <rFont val="Segoe UI"/>
            <family val="2"/>
          </rPr>
          <t xml:space="preserve">/(n - 1)]/ </t>
        </r>
        <r>
          <rPr>
            <b/>
            <sz val="9"/>
            <color indexed="81"/>
            <rFont val="Symbol"/>
            <family val="1"/>
            <charset val="2"/>
          </rPr>
          <t>Ö</t>
        </r>
        <r>
          <rPr>
            <b/>
            <sz val="9"/>
            <color indexed="81"/>
            <rFont val="Segoe UI"/>
            <family val="2"/>
          </rPr>
          <t xml:space="preserve"> n .
Atualmente n = 2. Posteriormente n passará para 3 ou 4.
Para CMC a repetitividade média é estimada pelo desvio padrão de três medidas que diferem de 0,01 nm; resultando  s = 0,01225 nm e uRL = 0,007.</t>
        </r>
      </text>
    </comment>
    <comment ref="C14" authorId="0" shapeId="0" xr:uid="{8B632697-0AB6-4428-957C-2BA94DA2DF28}">
      <text>
        <r>
          <rPr>
            <b/>
            <sz val="9"/>
            <color indexed="81"/>
            <rFont val="Segoe UI"/>
            <family val="2"/>
          </rPr>
          <t>Seleciona na aba Registro de Dados a resolução do espectrofotômetro, em comprimento de onda. 
No caso da CMC a resolução média é 0,1 nm.</t>
        </r>
      </text>
    </comment>
    <comment ref="U14" authorId="0" shapeId="0" xr:uid="{7EF46C87-1CCF-43D6-99AC-417B19AE0B81}">
      <text>
        <r>
          <rPr>
            <b/>
            <sz val="9"/>
            <color indexed="81"/>
            <rFont val="Segoe UL9"/>
          </rPr>
          <t xml:space="preserve">Divisor </t>
        </r>
        <r>
          <rPr>
            <b/>
            <sz val="9"/>
            <color indexed="81"/>
            <rFont val="Symbol"/>
            <family val="1"/>
            <charset val="2"/>
          </rPr>
          <t>= Ö</t>
        </r>
        <r>
          <rPr>
            <b/>
            <sz val="9"/>
            <color indexed="81"/>
            <rFont val="Segoe UI"/>
            <family val="2"/>
          </rPr>
          <t>12</t>
        </r>
      </text>
    </comment>
    <comment ref="AK15" authorId="0" shapeId="0" xr:uid="{305AAA39-6F60-4AAB-8934-652C6D59765E}">
      <text>
        <r>
          <rPr>
            <b/>
            <sz val="9"/>
            <color indexed="81"/>
            <rFont val="Segoe UI"/>
            <family val="2"/>
          </rPr>
          <t xml:space="preserve">Se a incerteza padrão da componente de repetitividade for nula, o grau de liberdade dessa componente é infinito, acarretando o mesmo para o grau de liberdade efetivo do resultado final.
Quando o grau de liberdade for maior que 1000000, adota-se grau de liberdade infinito, uma vez que para grau 1000000 o fator de cobertura é praticamente 2 (aproximação de 2,00000494). Isto foi feito apenas para evitar o aparecimento de valores em notação científica, modo que não compatibiliza com o símbolo infinito, exibido em letra Symbol - a única que viabiliza o símbolo de infinito. </t>
        </r>
      </text>
    </comment>
    <comment ref="C17" authorId="0" shapeId="0" xr:uid="{78B556CD-4AFE-4C53-ABCF-7106CB4E0FD9}">
      <text>
        <r>
          <rPr>
            <b/>
            <sz val="9"/>
            <color indexed="81"/>
            <rFont val="Segoe UI"/>
            <family val="2"/>
          </rPr>
          <t>Incerteza combinada multiplicada pelo fator de cobertura obtido para gerar probabilidade de 95,45%.</t>
        </r>
        <r>
          <rPr>
            <sz val="9"/>
            <color indexed="81"/>
            <rFont val="Segoe UI"/>
            <family val="2"/>
          </rPr>
          <t xml:space="preserve">
</t>
        </r>
      </text>
    </comment>
    <comment ref="AK17" authorId="0" shapeId="0" xr:uid="{A2343427-99EB-4D3F-9A7E-C9B6A6ABE82D}">
      <text>
        <r>
          <rPr>
            <b/>
            <sz val="9"/>
            <color indexed="81"/>
            <rFont val="Segoe UI"/>
            <family val="2"/>
          </rPr>
          <t xml:space="preserve">Para probabilidade 95,45% e grau de liberdade efetivo infinito, o fator de cobertura é igual a 2.
Também, quando o grau de liberdade efetivo for maior que 1000000, aproxima-se o fator de cobertura para 2,000, arredondamento de 2,00000494, valor com 5 casas decimais nulas. Nos demais casos o fator é sempre calculado.
</t>
        </r>
      </text>
    </comment>
    <comment ref="C18" authorId="0" shapeId="0" xr:uid="{B1660DCD-FADB-4929-9224-68907F9E20D2}">
      <text>
        <r>
          <rPr>
            <b/>
            <sz val="9"/>
            <color indexed="81"/>
            <rFont val="Segoe UI"/>
            <family val="2"/>
          </rPr>
          <t>Critério de arredondamento: se o erro de arredondamento para baixo for maior que 5%, arredonda para cima com um algarismo significativo. Se for menor que 5% arredonda para baixo com um algarismo significativo.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Oswaldo</author>
  </authors>
  <commentList>
    <comment ref="Y8" authorId="0" shapeId="0" xr:uid="{A24E6D14-D7BE-4E40-AFEF-16947047C2CF}">
      <text>
        <r>
          <rPr>
            <b/>
            <sz val="9"/>
            <color indexed="81"/>
            <rFont val="Segoe UI"/>
            <family val="2"/>
          </rPr>
          <t xml:space="preserve">Não admite grau de liberdade para uma medida. Somente a partir de duas medidas. </t>
        </r>
      </text>
    </comment>
    <comment ref="C11" authorId="0" shapeId="0" xr:uid="{BE61B470-D272-4FA3-A73E-3430D731E27A}">
      <text>
        <r>
          <rPr>
            <b/>
            <sz val="9"/>
            <color indexed="81"/>
            <rFont val="Segoe UI"/>
            <family val="2"/>
          </rPr>
          <t>Contabiliza a deriva entre a calibração original pela Starna e a última calibração. Toma a deriva mensal média daquele período e estima a deriva proporcional ao número de meses desde o mês da última calibração. Portanto, calibrações realizadas no mês da recalibração terão deriva nula.
Conforme SP 260-140, os filtros são pré-sazonados, de forma que a única deriva ocorre por contaminação da superfície, reduzindo a transmitância (aumentando a absorbância), conforme observado nos gráficos de deriva total (curva verde) na aba Cadastro - Padrões Absobância.</t>
        </r>
      </text>
    </comment>
    <comment ref="C12" authorId="0" shapeId="0" xr:uid="{15E2A33E-8349-41A7-A11B-2EB3B48C62AF}">
      <text>
        <r>
          <rPr>
            <b/>
            <sz val="9"/>
            <color indexed="81"/>
            <rFont val="Segoe UI"/>
            <family val="2"/>
          </rPr>
          <t>Desvio padrão experimental da média das leituras:    [</t>
        </r>
        <r>
          <rPr>
            <b/>
            <sz val="9"/>
            <color indexed="81"/>
            <rFont val="Symbol"/>
            <family val="1"/>
            <charset val="2"/>
          </rPr>
          <t>Ö</t>
        </r>
        <r>
          <rPr>
            <b/>
            <sz val="9"/>
            <color indexed="81"/>
            <rFont val="Segoe UI"/>
            <family val="2"/>
          </rPr>
          <t xml:space="preserve"> </t>
        </r>
        <r>
          <rPr>
            <sz val="9"/>
            <color indexed="81"/>
            <rFont val="Symbol"/>
            <family val="1"/>
            <charset val="2"/>
          </rPr>
          <t>S</t>
        </r>
        <r>
          <rPr>
            <b/>
            <sz val="9"/>
            <color indexed="81"/>
            <rFont val="Segoe UI"/>
            <family val="2"/>
          </rPr>
          <t>(x</t>
        </r>
        <r>
          <rPr>
            <b/>
            <vertAlign val="subscript"/>
            <sz val="9"/>
            <color indexed="81"/>
            <rFont val="Segoe UI"/>
            <family val="2"/>
          </rPr>
          <t>i</t>
        </r>
        <r>
          <rPr>
            <b/>
            <sz val="9"/>
            <color indexed="81"/>
            <rFont val="Segoe UI"/>
            <family val="2"/>
          </rPr>
          <t xml:space="preserve"> - x</t>
        </r>
        <r>
          <rPr>
            <b/>
            <vertAlign val="subscript"/>
            <sz val="9"/>
            <color indexed="81"/>
            <rFont val="Segoe UI"/>
            <family val="2"/>
          </rPr>
          <t>médio</t>
        </r>
        <r>
          <rPr>
            <b/>
            <sz val="9"/>
            <color indexed="81"/>
            <rFont val="Segoe UI"/>
            <family val="2"/>
          </rPr>
          <t>)</t>
        </r>
        <r>
          <rPr>
            <b/>
            <vertAlign val="superscript"/>
            <sz val="9"/>
            <color indexed="81"/>
            <rFont val="Segoe UI"/>
            <family val="2"/>
          </rPr>
          <t>2</t>
        </r>
        <r>
          <rPr>
            <b/>
            <sz val="9"/>
            <color indexed="81"/>
            <rFont val="Segoe UI"/>
            <family val="2"/>
          </rPr>
          <t>/(n - 1)] /</t>
        </r>
        <r>
          <rPr>
            <b/>
            <sz val="9"/>
            <color indexed="81"/>
            <rFont val="Symbol"/>
            <family val="1"/>
            <charset val="2"/>
          </rPr>
          <t xml:space="preserve"> Ö</t>
        </r>
        <r>
          <rPr>
            <b/>
            <sz val="9"/>
            <color indexed="81"/>
            <rFont val="Segoe UI"/>
            <family val="2"/>
          </rPr>
          <t xml:space="preserve"> n.
Para CMC a repetitividade média é estimada pelo desvio padrão experimental de quatro medidas que diferem de 0,001 nm; resultando 0,00033 A.
Brevemente serão adotados 3 medidas. Decorre disso o divisor 1, porque o DPEM já é para um desvio padrão.</t>
        </r>
      </text>
    </comment>
    <comment ref="C13" authorId="0" shapeId="0" xr:uid="{E184ABEB-8910-4400-AB8E-2518F9C19E69}">
      <text>
        <r>
          <rPr>
            <b/>
            <sz val="9"/>
            <color indexed="81"/>
            <rFont val="Segoe UI"/>
            <family val="2"/>
          </rPr>
          <t xml:space="preserve">Seleciona na aba Registro de Dados a resolução do espectrofotômetro, em absorbância. </t>
        </r>
        <r>
          <rPr>
            <sz val="9"/>
            <color indexed="81"/>
            <rFont val="Segoe UI"/>
            <family val="2"/>
          </rPr>
          <t xml:space="preserve">
</t>
        </r>
      </text>
    </comment>
    <comment ref="O13" authorId="0" shapeId="0" xr:uid="{E3ECAF4D-54E2-4B3F-A8AE-970979AB8057}">
      <text>
        <r>
          <rPr>
            <b/>
            <sz val="9"/>
            <color indexed="81"/>
            <rFont val="Segoe UL9"/>
          </rPr>
          <t xml:space="preserve">Divisor </t>
        </r>
        <r>
          <rPr>
            <b/>
            <sz val="9"/>
            <color indexed="81"/>
            <rFont val="Symbol"/>
            <family val="1"/>
            <charset val="2"/>
          </rPr>
          <t>= Ö</t>
        </r>
        <r>
          <rPr>
            <b/>
            <sz val="9"/>
            <color indexed="81"/>
            <rFont val="Segoe UI"/>
            <family val="2"/>
          </rPr>
          <t>12</t>
        </r>
      </text>
    </comment>
    <comment ref="Y14" authorId="0" shapeId="0" xr:uid="{20FE072E-C521-4075-9B40-AAFEC46A9F99}">
      <text>
        <r>
          <rPr>
            <b/>
            <sz val="9"/>
            <color indexed="81"/>
            <rFont val="Segoe UI"/>
            <family val="2"/>
          </rPr>
          <t>Se a incerteza padrão da componente de repetitividade for nula, o grau de liberdade dessa componente é infinito, acarretando o mesmo para o grau de liberdade efetivo do resultado final.
Quando o grau de liberdade for maior que 558, adota-se grau de liberdade infinito, uma vez que para grau 558 o fator de cobertura é praticamente 2,00 (aproximação de 2,004493), que aproximado até a segunda casa decimal será 2,00.</t>
        </r>
      </text>
    </comment>
    <comment ref="AC15" authorId="0" shapeId="0" xr:uid="{4B0C65E6-7034-49B3-B119-65D2B44B5288}">
      <text>
        <r>
          <rPr>
            <b/>
            <sz val="9"/>
            <color indexed="81"/>
            <rFont val="Segoe UI"/>
            <family val="2"/>
          </rPr>
          <t>Manter as células T, U, V com estilo Symbol, para permitir o símbolo de infinito.</t>
        </r>
        <r>
          <rPr>
            <sz val="9"/>
            <color indexed="81"/>
            <rFont val="Segoe UI"/>
            <family val="2"/>
          </rPr>
          <t xml:space="preserve">
</t>
        </r>
      </text>
    </comment>
    <comment ref="C16" authorId="0" shapeId="0" xr:uid="{27EBC092-2AED-46EB-B1DC-FC7DC9A90FEC}">
      <text>
        <r>
          <rPr>
            <b/>
            <sz val="9"/>
            <color indexed="81"/>
            <rFont val="Segoe UI"/>
            <family val="2"/>
          </rPr>
          <t>Incerteza combinada multiplicada pelo fator de cobertura obtido para gerar probabilidade de 95,45%.</t>
        </r>
        <r>
          <rPr>
            <sz val="9"/>
            <color indexed="81"/>
            <rFont val="Segoe UI"/>
            <family val="2"/>
          </rPr>
          <t xml:space="preserve">
</t>
        </r>
      </text>
    </comment>
    <comment ref="Y16" authorId="0" shapeId="0" xr:uid="{67B9E0A8-B3D8-42B8-AB68-5689BBD4C082}">
      <text>
        <r>
          <rPr>
            <b/>
            <sz val="9"/>
            <color indexed="81"/>
            <rFont val="Segoe UI"/>
            <family val="2"/>
          </rPr>
          <t xml:space="preserve">Para probabilidade 95,45% e grau de liberdade efetivo infinito, o fator de cobertura é igual a 2.
Também, quando o grau de liberdade efetivo for maior que 1000000, aproxima-se o fator de cobertura para 2,000, arredondamento de 2,00000494, valor com 5 casas decimais nulas. Nos demais casos o fator é sempre calculado.
</t>
        </r>
      </text>
    </comment>
    <comment ref="C17" authorId="0" shapeId="0" xr:uid="{3FB853C9-2C6C-49AE-927A-9CBA6DCCC439}">
      <text>
        <r>
          <rPr>
            <b/>
            <sz val="9"/>
            <color indexed="81"/>
            <rFont val="Segoe UI"/>
            <family val="2"/>
          </rPr>
          <t>Critério de arredondamento: se o erro de arredondamento para baixo for maior que 5%, arredonda para cima com um algarismo significativo. Se for menor que 5% arredonda para baixo com um algarismo significativo.</t>
        </r>
      </text>
    </comment>
    <comment ref="Y21" authorId="0" shapeId="0" xr:uid="{EA4C68FF-A34B-4D19-901D-4823AF76B41E}">
      <text>
        <r>
          <rPr>
            <b/>
            <sz val="9"/>
            <color indexed="81"/>
            <rFont val="Segoe UI"/>
            <family val="2"/>
          </rPr>
          <t xml:space="preserve">Não admite grau de liberdade para uma medida. Somente a partir de duas medidas. </t>
        </r>
      </text>
    </comment>
    <comment ref="C24" authorId="0" shapeId="0" xr:uid="{846F88A4-CE84-43A3-AA3A-3EA978ED2875}">
      <text>
        <r>
          <rPr>
            <b/>
            <sz val="9"/>
            <color indexed="81"/>
            <rFont val="Segoe UI"/>
            <family val="2"/>
          </rPr>
          <t>Contabiliza a deriva entre a calibração original pela Starna e a última calibração. Toma a deriva mensal média daquele período e estima a deriva proporcional ao número de meses desde o mês da última calibração.
Conforme SP 260-140, os filtros são pré-sazonados, de forma que a única deriva ocorre por contaminação da superfície, reduzindo a transmitância (aumentando a absorbância).</t>
        </r>
      </text>
    </comment>
    <comment ref="C25" authorId="0" shapeId="0" xr:uid="{86C37D44-F858-4AC4-BC95-2042EEE1C5D3}">
      <text>
        <r>
          <rPr>
            <b/>
            <sz val="9"/>
            <color indexed="81"/>
            <rFont val="Segoe UI"/>
            <family val="2"/>
          </rPr>
          <t>Desvio padrão experimental da média das leituras:    [</t>
        </r>
        <r>
          <rPr>
            <b/>
            <sz val="9"/>
            <color indexed="81"/>
            <rFont val="Symbol"/>
            <family val="1"/>
            <charset val="2"/>
          </rPr>
          <t>Ö</t>
        </r>
        <r>
          <rPr>
            <b/>
            <sz val="9"/>
            <color indexed="81"/>
            <rFont val="Segoe UI"/>
            <family val="2"/>
          </rPr>
          <t xml:space="preserve"> </t>
        </r>
        <r>
          <rPr>
            <sz val="9"/>
            <color indexed="81"/>
            <rFont val="Symbol"/>
            <family val="1"/>
            <charset val="2"/>
          </rPr>
          <t>S</t>
        </r>
        <r>
          <rPr>
            <b/>
            <sz val="9"/>
            <color indexed="81"/>
            <rFont val="Segoe UI"/>
            <family val="2"/>
          </rPr>
          <t>(x</t>
        </r>
        <r>
          <rPr>
            <b/>
            <vertAlign val="subscript"/>
            <sz val="9"/>
            <color indexed="81"/>
            <rFont val="Segoe UI"/>
            <family val="2"/>
          </rPr>
          <t>i</t>
        </r>
        <r>
          <rPr>
            <b/>
            <sz val="9"/>
            <color indexed="81"/>
            <rFont val="Segoe UI"/>
            <family val="2"/>
          </rPr>
          <t xml:space="preserve"> - x</t>
        </r>
        <r>
          <rPr>
            <b/>
            <vertAlign val="subscript"/>
            <sz val="9"/>
            <color indexed="81"/>
            <rFont val="Segoe UI"/>
            <family val="2"/>
          </rPr>
          <t>médio</t>
        </r>
        <r>
          <rPr>
            <b/>
            <sz val="9"/>
            <color indexed="81"/>
            <rFont val="Segoe UI"/>
            <family val="2"/>
          </rPr>
          <t>)</t>
        </r>
        <r>
          <rPr>
            <b/>
            <vertAlign val="superscript"/>
            <sz val="9"/>
            <color indexed="81"/>
            <rFont val="Segoe UI"/>
            <family val="2"/>
          </rPr>
          <t>2</t>
        </r>
        <r>
          <rPr>
            <b/>
            <sz val="9"/>
            <color indexed="81"/>
            <rFont val="Segoe UI"/>
            <family val="2"/>
          </rPr>
          <t>/(n - 1)] /</t>
        </r>
        <r>
          <rPr>
            <b/>
            <sz val="9"/>
            <color indexed="81"/>
            <rFont val="Symbol"/>
            <family val="1"/>
            <charset val="2"/>
          </rPr>
          <t xml:space="preserve"> Ö</t>
        </r>
        <r>
          <rPr>
            <b/>
            <sz val="9"/>
            <color indexed="81"/>
            <rFont val="Segoe UI"/>
            <family val="2"/>
          </rPr>
          <t xml:space="preserve"> n.
Para CMC a repetitividade média é estimada pelo desvio padrão experimental de quatro medidas que diferem de 0,001 nm; resultando 0,00033 A.
Brevemente serão adotados 3 medidas. Decorre disso o divisor 1, porque o DPEM já é para um desvio padrão.</t>
        </r>
      </text>
    </comment>
    <comment ref="C26" authorId="0" shapeId="0" xr:uid="{5551B208-8779-4956-A194-01063F7CA440}">
      <text>
        <r>
          <rPr>
            <b/>
            <sz val="9"/>
            <color indexed="81"/>
            <rFont val="Segoe UI"/>
            <family val="2"/>
          </rPr>
          <t xml:space="preserve">Seleciona na aba Registro de Dados a resolução do espectrofotômetro, em absorbância. </t>
        </r>
        <r>
          <rPr>
            <sz val="9"/>
            <color indexed="81"/>
            <rFont val="Segoe UI"/>
            <family val="2"/>
          </rPr>
          <t xml:space="preserve">
</t>
        </r>
      </text>
    </comment>
    <comment ref="O26" authorId="0" shapeId="0" xr:uid="{7468AEE8-AFF0-480E-9E1C-8C32010887A5}">
      <text>
        <r>
          <rPr>
            <b/>
            <sz val="9"/>
            <color indexed="81"/>
            <rFont val="Segoe UL9"/>
          </rPr>
          <t xml:space="preserve">Divisor </t>
        </r>
        <r>
          <rPr>
            <b/>
            <sz val="9"/>
            <color indexed="81"/>
            <rFont val="Symbol"/>
            <family val="1"/>
            <charset val="2"/>
          </rPr>
          <t>= Ö</t>
        </r>
        <r>
          <rPr>
            <b/>
            <sz val="9"/>
            <color indexed="81"/>
            <rFont val="Segoe UI"/>
            <family val="2"/>
          </rPr>
          <t>12</t>
        </r>
      </text>
    </comment>
    <comment ref="Y27" authorId="0" shapeId="0" xr:uid="{93492E75-04DD-4BDF-A464-6BA3E1E8D848}">
      <text>
        <r>
          <rPr>
            <b/>
            <sz val="9"/>
            <color indexed="81"/>
            <rFont val="Segoe UI"/>
            <family val="2"/>
          </rPr>
          <t xml:space="preserve">Se a incerteza padrão da componente de repetitividade for nula, o grau de liberdade dessa componente é infinito, acarretando o mesmo para o grau de liberdade efetivo do resultado final.
Quando o grau de liberdade for maior que 1000000, adota-se grau de liberdade infinito, uma vez que para grau 1000000 o fator de cobertura é praticamente 2 (aproximação de 2,00000494). Isto foi feito apenas para evitar o aparecimento de valores em notação científica, modo que não compatibiliza com o símbolo infinito, exibido em letra Symbol - a única que viabiliza o símbolo de infinito. </t>
        </r>
      </text>
    </comment>
    <comment ref="AC28" authorId="0" shapeId="0" xr:uid="{819CF4B0-D04F-4392-9052-F9A527CB311F}">
      <text>
        <r>
          <rPr>
            <b/>
            <sz val="9"/>
            <color indexed="81"/>
            <rFont val="Segoe UI"/>
            <family val="2"/>
          </rPr>
          <t>Manter as células T, U, V com estilo Symbol, para permitir o símbolo de infinito.</t>
        </r>
        <r>
          <rPr>
            <sz val="9"/>
            <color indexed="81"/>
            <rFont val="Segoe UI"/>
            <family val="2"/>
          </rPr>
          <t xml:space="preserve">
</t>
        </r>
      </text>
    </comment>
    <comment ref="C29" authorId="0" shapeId="0" xr:uid="{AC44C89F-DE03-446E-9A94-ADC4509918ED}">
      <text>
        <r>
          <rPr>
            <b/>
            <sz val="9"/>
            <color indexed="81"/>
            <rFont val="Segoe UI"/>
            <family val="2"/>
          </rPr>
          <t>Incerteza combinada multiplicada pelo fator de cobertura obtido para gerar probabilidade de 95,45%.</t>
        </r>
        <r>
          <rPr>
            <sz val="9"/>
            <color indexed="81"/>
            <rFont val="Segoe UI"/>
            <family val="2"/>
          </rPr>
          <t xml:space="preserve">
</t>
        </r>
      </text>
    </comment>
    <comment ref="Y29" authorId="0" shapeId="0" xr:uid="{285A15B7-FE03-43F7-A228-0C871DBEDAA3}">
      <text>
        <r>
          <rPr>
            <b/>
            <sz val="9"/>
            <color indexed="81"/>
            <rFont val="Segoe UI"/>
            <family val="2"/>
          </rPr>
          <t xml:space="preserve">Para probabilidade 95,45% e grau de liberdade efetivo infinito, o fator de cobertura é igual a 2.
Também, quando o grau de liberdade efetivo for maior que 1000000, aproxima-se o fator de cobertura para 2,000, arredondamento de 2,00000494, valor com 5 casas decimais nulas. Nos demais casos o fator é sempre calculado.
</t>
        </r>
      </text>
    </comment>
    <comment ref="C30" authorId="0" shapeId="0" xr:uid="{62ECBDF4-004F-4364-A116-516CCBA8D5F5}">
      <text>
        <r>
          <rPr>
            <b/>
            <sz val="9"/>
            <color indexed="81"/>
            <rFont val="Segoe UI"/>
            <family val="2"/>
          </rPr>
          <t>Critério de arredondamento: se o erro de arredondamento para baixo for maior que 5%, arredonda para cima com um algarismo significativo. Se for menor que 5% arredonda para baixo com um algarismo significativo.</t>
        </r>
      </text>
    </comment>
    <comment ref="Y34" authorId="0" shapeId="0" xr:uid="{7530ACDC-3518-466B-9DFF-6E93E9EAF4AA}">
      <text>
        <r>
          <rPr>
            <b/>
            <sz val="9"/>
            <color indexed="81"/>
            <rFont val="Segoe UI"/>
            <family val="2"/>
          </rPr>
          <t xml:space="preserve">Não admite grau de liberdade para uma medida. Somente a partir de duas medidas. </t>
        </r>
      </text>
    </comment>
    <comment ref="C37" authorId="0" shapeId="0" xr:uid="{FBDBB7AB-CDE1-444B-B24E-B658A507917C}">
      <text>
        <r>
          <rPr>
            <b/>
            <sz val="9"/>
            <color indexed="81"/>
            <rFont val="Segoe UI"/>
            <family val="2"/>
          </rPr>
          <t>Contabiliza a deriva entre a calibração original pela Starna e a última calibração. Toma a deriva mensal média daquele período e estima a deriva proporcional ao número de meses desde o mês da última calibração.
Conforme SP 260-140, os filtros são pré-sazonados, de forma que a única deriva ocorre por contaminação da superfície, reduzindo a transmitância (aumentando a absorbância).</t>
        </r>
      </text>
    </comment>
    <comment ref="C38" authorId="0" shapeId="0" xr:uid="{437BF2A1-A8D1-41CB-8D0F-4226D403AFD8}">
      <text>
        <r>
          <rPr>
            <b/>
            <sz val="9"/>
            <color indexed="81"/>
            <rFont val="Segoe UI"/>
            <family val="2"/>
          </rPr>
          <t>Desvio padrão experimental da média das leituras:    [</t>
        </r>
        <r>
          <rPr>
            <b/>
            <sz val="9"/>
            <color indexed="81"/>
            <rFont val="Symbol"/>
            <family val="1"/>
            <charset val="2"/>
          </rPr>
          <t>Ö</t>
        </r>
        <r>
          <rPr>
            <b/>
            <sz val="9"/>
            <color indexed="81"/>
            <rFont val="Segoe UI"/>
            <family val="2"/>
          </rPr>
          <t xml:space="preserve"> </t>
        </r>
        <r>
          <rPr>
            <sz val="9"/>
            <color indexed="81"/>
            <rFont val="Symbol"/>
            <family val="1"/>
            <charset val="2"/>
          </rPr>
          <t>S</t>
        </r>
        <r>
          <rPr>
            <b/>
            <sz val="9"/>
            <color indexed="81"/>
            <rFont val="Segoe UI"/>
            <family val="2"/>
          </rPr>
          <t>(x</t>
        </r>
        <r>
          <rPr>
            <b/>
            <vertAlign val="subscript"/>
            <sz val="9"/>
            <color indexed="81"/>
            <rFont val="Segoe UI"/>
            <family val="2"/>
          </rPr>
          <t>i</t>
        </r>
        <r>
          <rPr>
            <b/>
            <sz val="9"/>
            <color indexed="81"/>
            <rFont val="Segoe UI"/>
            <family val="2"/>
          </rPr>
          <t xml:space="preserve"> - x</t>
        </r>
        <r>
          <rPr>
            <b/>
            <vertAlign val="subscript"/>
            <sz val="9"/>
            <color indexed="81"/>
            <rFont val="Segoe UI"/>
            <family val="2"/>
          </rPr>
          <t>médio</t>
        </r>
        <r>
          <rPr>
            <b/>
            <sz val="9"/>
            <color indexed="81"/>
            <rFont val="Segoe UI"/>
            <family val="2"/>
          </rPr>
          <t>)</t>
        </r>
        <r>
          <rPr>
            <b/>
            <vertAlign val="superscript"/>
            <sz val="9"/>
            <color indexed="81"/>
            <rFont val="Segoe UI"/>
            <family val="2"/>
          </rPr>
          <t>2</t>
        </r>
        <r>
          <rPr>
            <b/>
            <sz val="9"/>
            <color indexed="81"/>
            <rFont val="Segoe UI"/>
            <family val="2"/>
          </rPr>
          <t>/(n - 1)] /</t>
        </r>
        <r>
          <rPr>
            <b/>
            <sz val="9"/>
            <color indexed="81"/>
            <rFont val="Symbol"/>
            <family val="1"/>
            <charset val="2"/>
          </rPr>
          <t xml:space="preserve"> Ö</t>
        </r>
        <r>
          <rPr>
            <b/>
            <sz val="9"/>
            <color indexed="81"/>
            <rFont val="Segoe UI"/>
            <family val="2"/>
          </rPr>
          <t xml:space="preserve"> n.
Para CMC a repetitividade média é estimada pelo desvio padrão experimental de quatro medidas que diferem de 0,001 nm; resultando 0,00033 A.
Brevemente serão adotados 3 medidas. Decorre disso o divisor 1, porque o DPEM já é para um desvio padrão.</t>
        </r>
      </text>
    </comment>
    <comment ref="C39" authorId="0" shapeId="0" xr:uid="{B6308346-343A-4DD5-A3E9-3F1EE955C9CB}">
      <text>
        <r>
          <rPr>
            <b/>
            <sz val="9"/>
            <color indexed="81"/>
            <rFont val="Segoe UI"/>
            <family val="2"/>
          </rPr>
          <t xml:space="preserve">Seleciona na aba Registro de Dados a resolução do espectrofotômetro, em absorbância. </t>
        </r>
        <r>
          <rPr>
            <sz val="9"/>
            <color indexed="81"/>
            <rFont val="Segoe UI"/>
            <family val="2"/>
          </rPr>
          <t xml:space="preserve">
</t>
        </r>
      </text>
    </comment>
    <comment ref="O39" authorId="0" shapeId="0" xr:uid="{AEF44EB6-4BBA-4801-BDE6-FAEDEEC0013E}">
      <text>
        <r>
          <rPr>
            <b/>
            <sz val="9"/>
            <color indexed="81"/>
            <rFont val="Segoe UL9"/>
          </rPr>
          <t xml:space="preserve">Divisor </t>
        </r>
        <r>
          <rPr>
            <b/>
            <sz val="9"/>
            <color indexed="81"/>
            <rFont val="Symbol"/>
            <family val="1"/>
            <charset val="2"/>
          </rPr>
          <t>= Ö</t>
        </r>
        <r>
          <rPr>
            <b/>
            <sz val="9"/>
            <color indexed="81"/>
            <rFont val="Segoe UI"/>
            <family val="2"/>
          </rPr>
          <t>12</t>
        </r>
      </text>
    </comment>
    <comment ref="Y40" authorId="0" shapeId="0" xr:uid="{E92ED403-6195-4F98-A5B4-2C2F3D5A52C2}">
      <text>
        <r>
          <rPr>
            <b/>
            <sz val="9"/>
            <color indexed="81"/>
            <rFont val="Segoe UI"/>
            <family val="2"/>
          </rPr>
          <t xml:space="preserve">Se a incerteza padrão da componente de repetitividade for nula, o grau de liberdade dessa componente é infinito, acarretando o mesmo para o grau de liberdade efetivo do resultado final.
Quando o grau de liberdade for maior que 1000000, adota-se grau de liberdade infinito, uma vez que para grau 1000000 o fator de cobertura é praticamente 2 (aproximação de 2,00000494). Isto foi feito apenas para evitar o aparecimento de valores em notação científica, modo que não compatibiliza com o símbolo infinito, exibido em letra Symbol - a única que viabiliza o símbolo de infinito. </t>
        </r>
      </text>
    </comment>
    <comment ref="AC41" authorId="0" shapeId="0" xr:uid="{AB398FF7-4BA9-411A-B853-00D36DD2E0FD}">
      <text>
        <r>
          <rPr>
            <b/>
            <sz val="9"/>
            <color indexed="81"/>
            <rFont val="Segoe UI"/>
            <family val="2"/>
          </rPr>
          <t>Manter as células T, U, V com estilo Symbol, para permitir o símbolo de infinito.</t>
        </r>
        <r>
          <rPr>
            <sz val="9"/>
            <color indexed="81"/>
            <rFont val="Segoe UI"/>
            <family val="2"/>
          </rPr>
          <t xml:space="preserve">
</t>
        </r>
      </text>
    </comment>
    <comment ref="C42" authorId="0" shapeId="0" xr:uid="{541B9C29-6C1E-400C-A25A-04C08B62BE2F}">
      <text>
        <r>
          <rPr>
            <b/>
            <sz val="9"/>
            <color indexed="81"/>
            <rFont val="Segoe UI"/>
            <family val="2"/>
          </rPr>
          <t>Incerteza combinada multiplicada pelo fator de cobertura obtido para gerar probabilidade de 95,45%.</t>
        </r>
        <r>
          <rPr>
            <sz val="9"/>
            <color indexed="81"/>
            <rFont val="Segoe UI"/>
            <family val="2"/>
          </rPr>
          <t xml:space="preserve">
</t>
        </r>
      </text>
    </comment>
    <comment ref="Y42" authorId="0" shapeId="0" xr:uid="{CA1DD969-4AD8-45B0-A428-F03B220D62FA}">
      <text>
        <r>
          <rPr>
            <b/>
            <sz val="9"/>
            <color indexed="81"/>
            <rFont val="Segoe UI"/>
            <family val="2"/>
          </rPr>
          <t xml:space="preserve">Para probabilidade 95,45% e grau de liberdade efetivo infinito, o fator de cobertura é igual a 2.
Também, quando o grau de liberdade efetivo for maior que 1000000, aproxima-se o fator de cobertura para 2,000, arredondamento de 2,00000494, valor com 5 casas decimais nulas. Nos demais casos o fator é sempre calculado.
</t>
        </r>
      </text>
    </comment>
    <comment ref="C43" authorId="0" shapeId="0" xr:uid="{F1AC949A-B128-4600-A726-81DAEC257FAC}">
      <text>
        <r>
          <rPr>
            <b/>
            <sz val="9"/>
            <color indexed="81"/>
            <rFont val="Segoe UI"/>
            <family val="2"/>
          </rPr>
          <t>Critério de arredondamento: se o erro de arredondamento para baixo for maior que 5%, arredonda para cima com um algarismo significativo. Se for menor que 5% arredonda para baixo com um algarismo significativo.</t>
        </r>
      </text>
    </comment>
    <comment ref="Y50" authorId="0" shapeId="0" xr:uid="{C79CC648-8FB4-4A0D-8829-DC75325E8EF4}">
      <text>
        <r>
          <rPr>
            <b/>
            <sz val="9"/>
            <color indexed="81"/>
            <rFont val="Segoe UI"/>
            <family val="2"/>
          </rPr>
          <t xml:space="preserve">Não admite grau de liberdade para uma medida. Somente a partir de duas medidas. </t>
        </r>
      </text>
    </comment>
    <comment ref="C53" authorId="0" shapeId="0" xr:uid="{643D2DB3-5DC7-492B-A2EC-0B320289A874}">
      <text>
        <r>
          <rPr>
            <b/>
            <sz val="9"/>
            <color indexed="81"/>
            <rFont val="Segoe UI"/>
            <family val="2"/>
          </rPr>
          <t>Contabiliza a deriva entre a calibração original pela Starna e a última calibração. Toma a deriva mensal média daquele período e estima a deriva proporcional ao número de meses desde o mês da última calibração.
Conforme SP 260-140, os filtros são pré-sazonados, de forma que a única deriva ocorre por contaminação da superfície, reduzindo a transmitância (aumentando a absorbância).</t>
        </r>
      </text>
    </comment>
    <comment ref="C54" authorId="0" shapeId="0" xr:uid="{8E524E69-041B-454B-BEC7-144205B5BF9F}">
      <text>
        <r>
          <rPr>
            <b/>
            <sz val="9"/>
            <color indexed="81"/>
            <rFont val="Segoe UI"/>
            <family val="2"/>
          </rPr>
          <t xml:space="preserve">Desvio padrão experimental da média das leituras:    </t>
        </r>
        <r>
          <rPr>
            <b/>
            <sz val="9"/>
            <color indexed="81"/>
            <rFont val="Symbol"/>
            <family val="1"/>
            <charset val="2"/>
          </rPr>
          <t>Ö</t>
        </r>
        <r>
          <rPr>
            <b/>
            <sz val="9"/>
            <color indexed="81"/>
            <rFont val="Segoe UI"/>
            <family val="2"/>
          </rPr>
          <t xml:space="preserve"> </t>
        </r>
        <r>
          <rPr>
            <sz val="9"/>
            <color indexed="81"/>
            <rFont val="Symbol"/>
            <family val="1"/>
            <charset val="2"/>
          </rPr>
          <t>S</t>
        </r>
        <r>
          <rPr>
            <b/>
            <sz val="9"/>
            <color indexed="81"/>
            <rFont val="Segoe UI"/>
            <family val="2"/>
          </rPr>
          <t>(x</t>
        </r>
        <r>
          <rPr>
            <b/>
            <vertAlign val="subscript"/>
            <sz val="9"/>
            <color indexed="81"/>
            <rFont val="Segoe UI"/>
            <family val="2"/>
          </rPr>
          <t>i</t>
        </r>
        <r>
          <rPr>
            <b/>
            <sz val="9"/>
            <color indexed="81"/>
            <rFont val="Segoe UI"/>
            <family val="2"/>
          </rPr>
          <t xml:space="preserve"> - x</t>
        </r>
        <r>
          <rPr>
            <b/>
            <vertAlign val="subscript"/>
            <sz val="9"/>
            <color indexed="81"/>
            <rFont val="Segoe UI"/>
            <family val="2"/>
          </rPr>
          <t>médio</t>
        </r>
        <r>
          <rPr>
            <b/>
            <sz val="9"/>
            <color indexed="81"/>
            <rFont val="Segoe UI"/>
            <family val="2"/>
          </rPr>
          <t>)</t>
        </r>
        <r>
          <rPr>
            <b/>
            <vertAlign val="superscript"/>
            <sz val="9"/>
            <color indexed="81"/>
            <rFont val="Segoe UI"/>
            <family val="2"/>
          </rPr>
          <t>2</t>
        </r>
        <r>
          <rPr>
            <b/>
            <sz val="9"/>
            <color indexed="81"/>
            <rFont val="Segoe UI"/>
            <family val="2"/>
          </rPr>
          <t>/(n - 1).
Para CMC a repetitividade média é estimada pelo desvio padrão de três medidas que diferem de 0,001 nm; resultando 0,000577 nm, aproximado para 0,0006 nm.
Brevemente serão adotados 3 medidas.Decorre disso o divisor raiz(3).</t>
        </r>
      </text>
    </comment>
    <comment ref="C55" authorId="0" shapeId="0" xr:uid="{3585A1B9-6134-4060-A3E3-61221918E3B8}">
      <text>
        <r>
          <rPr>
            <b/>
            <sz val="9"/>
            <color indexed="81"/>
            <rFont val="Segoe UI"/>
            <family val="2"/>
          </rPr>
          <t xml:space="preserve">Seleciona na aba Registro de Dados a resolução do espectrofotômetro, em absorbância. </t>
        </r>
        <r>
          <rPr>
            <sz val="9"/>
            <color indexed="81"/>
            <rFont val="Segoe UI"/>
            <family val="2"/>
          </rPr>
          <t xml:space="preserve">
</t>
        </r>
      </text>
    </comment>
    <comment ref="O55" authorId="0" shapeId="0" xr:uid="{515F0F04-3A2F-4725-8D8C-77A4F52CB3FE}">
      <text>
        <r>
          <rPr>
            <b/>
            <sz val="9"/>
            <color indexed="81"/>
            <rFont val="Segoe UL9"/>
          </rPr>
          <t xml:space="preserve">Divisor </t>
        </r>
        <r>
          <rPr>
            <b/>
            <sz val="9"/>
            <color indexed="81"/>
            <rFont val="Symbol"/>
            <family val="1"/>
            <charset val="2"/>
          </rPr>
          <t>= Ö</t>
        </r>
        <r>
          <rPr>
            <b/>
            <sz val="9"/>
            <color indexed="81"/>
            <rFont val="Segoe UI"/>
            <family val="2"/>
          </rPr>
          <t>12</t>
        </r>
      </text>
    </comment>
    <comment ref="Y56" authorId="0" shapeId="0" xr:uid="{99481DE4-0FB1-4E64-A1F3-3C9EF48EFDC2}">
      <text>
        <r>
          <rPr>
            <b/>
            <sz val="9"/>
            <color indexed="81"/>
            <rFont val="Segoe UI"/>
            <family val="2"/>
          </rPr>
          <t xml:space="preserve">Se a incerteza padrão da componente de repetitividade for nula, o grau de liberdade dessa componente é infinito, acarretando o mesmo para o grau de liberdade efetivo do resultado final.
Quando o grau de liberdade for maior que 1000000, adota-se grau de liberdade infinito, uma vez que para grau 1000000 o fator de cobertura é praticamente 2 (aproximação de 2,00000494). Isto foi feito apenas para evitar o aparecimento de valores em notação científica, modo que não compatibiliza com o símbolo infinito, exibido em letra Symbol - a única que viabiliza o símbolo de infinito. </t>
        </r>
      </text>
    </comment>
    <comment ref="AC57" authorId="0" shapeId="0" xr:uid="{41577864-2169-4694-80D9-EC2AD66EAB72}">
      <text>
        <r>
          <rPr>
            <b/>
            <sz val="9"/>
            <color indexed="81"/>
            <rFont val="Segoe UI"/>
            <family val="2"/>
          </rPr>
          <t>Manter as células T, U, V com estilo Symbol, para permitir o símbolo de infinito.</t>
        </r>
        <r>
          <rPr>
            <sz val="9"/>
            <color indexed="81"/>
            <rFont val="Segoe UI"/>
            <family val="2"/>
          </rPr>
          <t xml:space="preserve">
</t>
        </r>
      </text>
    </comment>
    <comment ref="C58" authorId="0" shapeId="0" xr:uid="{7809FB46-1275-47DB-B0C2-6B0A26CF3F7E}">
      <text>
        <r>
          <rPr>
            <b/>
            <sz val="9"/>
            <color indexed="81"/>
            <rFont val="Segoe UI"/>
            <family val="2"/>
          </rPr>
          <t>Incerteza combinada multiplicada pelo fator de cobertura obtido para gerar probabilidade de 95,45%.</t>
        </r>
        <r>
          <rPr>
            <sz val="9"/>
            <color indexed="81"/>
            <rFont val="Segoe UI"/>
            <family val="2"/>
          </rPr>
          <t xml:space="preserve">
</t>
        </r>
      </text>
    </comment>
    <comment ref="Y58" authorId="0" shapeId="0" xr:uid="{CBFCEE15-F68F-4E2B-AB0E-AEB5A0A3A024}">
      <text>
        <r>
          <rPr>
            <b/>
            <sz val="9"/>
            <color indexed="81"/>
            <rFont val="Segoe UI"/>
            <family val="2"/>
          </rPr>
          <t xml:space="preserve">Para probabilidade 95,45% e grau de liberdade efetivo infinito, o fator de cobertura é igual a 2.
Também, quando o grau de liberdade efetivo for maior que 1000000, aproxima-se o fator de cobertura para 2,000, arredondamento de 2,00000494, valor com 5 casas decimais nulas. Nos demais casos o fator é sempre calculado.
</t>
        </r>
      </text>
    </comment>
    <comment ref="C59" authorId="0" shapeId="0" xr:uid="{A4635DB8-5122-4426-A52B-6F63D8B3FA13}">
      <text>
        <r>
          <rPr>
            <b/>
            <sz val="9"/>
            <color indexed="81"/>
            <rFont val="Segoe UI"/>
            <family val="2"/>
          </rPr>
          <t>Critério de arredondamento: se o erro de arredondamento para baixo for maior que 5%, arredonda para cima com um algarismo significativo. Se for menor que 5% arredonda para baixo com um algarismo significativo.</t>
        </r>
      </text>
    </comment>
    <comment ref="Y63" authorId="0" shapeId="0" xr:uid="{3F42C6E0-179F-4341-868F-62CBC6DC2920}">
      <text>
        <r>
          <rPr>
            <b/>
            <sz val="9"/>
            <color indexed="81"/>
            <rFont val="Segoe UI"/>
            <family val="2"/>
          </rPr>
          <t xml:space="preserve">Não admite grau de liberdade para uma medida. Somente a partir de duas medidas. </t>
        </r>
      </text>
    </comment>
    <comment ref="C66" authorId="0" shapeId="0" xr:uid="{80F58905-A8AF-4B8B-9A13-5634C1CD5F35}">
      <text>
        <r>
          <rPr>
            <b/>
            <sz val="9"/>
            <color indexed="81"/>
            <rFont val="Segoe UI"/>
            <family val="2"/>
          </rPr>
          <t>Contabiliza a deriva entre a calibração original pela Starna e a última calibração. Toma a deriva mensal média daquele período e estima a deriva proporcional ao número de meses desde o mês da última calibração.
Conforme SP 260-140, os filtros são pré-sazonados, de forma que a única deriva ocorre por contaminação da superfície, reduzindo a transmitância (aumentando a absorbância).</t>
        </r>
      </text>
    </comment>
    <comment ref="C67" authorId="0" shapeId="0" xr:uid="{3415D0A7-EE7B-4B8E-B8FB-BB74AB346899}">
      <text>
        <r>
          <rPr>
            <b/>
            <sz val="9"/>
            <color indexed="81"/>
            <rFont val="Segoe UI"/>
            <family val="2"/>
          </rPr>
          <t xml:space="preserve">Desvio padrão experimental da média das leituras: </t>
        </r>
        <r>
          <rPr>
            <b/>
            <sz val="9"/>
            <color indexed="81"/>
            <rFont val="Symbol"/>
            <family val="1"/>
            <charset val="2"/>
          </rPr>
          <t>Ö</t>
        </r>
        <r>
          <rPr>
            <b/>
            <sz val="9"/>
            <color indexed="81"/>
            <rFont val="Segoe UI"/>
            <family val="2"/>
          </rPr>
          <t xml:space="preserve"> </t>
        </r>
        <r>
          <rPr>
            <sz val="9"/>
            <color indexed="81"/>
            <rFont val="Symbol"/>
            <family val="1"/>
            <charset val="2"/>
          </rPr>
          <t>S</t>
        </r>
        <r>
          <rPr>
            <b/>
            <sz val="9"/>
            <color indexed="81"/>
            <rFont val="Segoe UI"/>
            <family val="2"/>
          </rPr>
          <t>(x</t>
        </r>
        <r>
          <rPr>
            <b/>
            <vertAlign val="subscript"/>
            <sz val="9"/>
            <color indexed="81"/>
            <rFont val="Segoe UI"/>
            <family val="2"/>
          </rPr>
          <t>i</t>
        </r>
        <r>
          <rPr>
            <b/>
            <sz val="9"/>
            <color indexed="81"/>
            <rFont val="Segoe UI"/>
            <family val="2"/>
          </rPr>
          <t xml:space="preserve"> - x</t>
        </r>
        <r>
          <rPr>
            <b/>
            <vertAlign val="subscript"/>
            <sz val="9"/>
            <color indexed="81"/>
            <rFont val="Segoe UI"/>
            <family val="2"/>
          </rPr>
          <t>médio</t>
        </r>
        <r>
          <rPr>
            <b/>
            <sz val="9"/>
            <color indexed="81"/>
            <rFont val="Segoe UI"/>
            <family val="2"/>
          </rPr>
          <t>)</t>
        </r>
        <r>
          <rPr>
            <b/>
            <vertAlign val="superscript"/>
            <sz val="9"/>
            <color indexed="81"/>
            <rFont val="Segoe UI"/>
            <family val="2"/>
          </rPr>
          <t>2</t>
        </r>
        <r>
          <rPr>
            <b/>
            <sz val="9"/>
            <color indexed="81"/>
            <rFont val="Segoe UI"/>
            <family val="2"/>
          </rPr>
          <t>/(n - 1)</t>
        </r>
      </text>
    </comment>
    <comment ref="C68" authorId="0" shapeId="0" xr:uid="{BBBB578D-84B9-4B56-8DB2-5A09FCFC1208}">
      <text>
        <r>
          <rPr>
            <b/>
            <sz val="9"/>
            <color indexed="81"/>
            <rFont val="Segoe UI"/>
            <family val="2"/>
          </rPr>
          <t xml:space="preserve">Seleciona na aba Registro de Dados a resolução do espectrofotômetro, em absorbância. </t>
        </r>
        <r>
          <rPr>
            <sz val="9"/>
            <color indexed="81"/>
            <rFont val="Segoe UI"/>
            <family val="2"/>
          </rPr>
          <t xml:space="preserve">
</t>
        </r>
      </text>
    </comment>
    <comment ref="O68" authorId="0" shapeId="0" xr:uid="{46DABA38-8528-443A-869B-5ECDBD2BBCDA}">
      <text>
        <r>
          <rPr>
            <b/>
            <sz val="9"/>
            <color indexed="81"/>
            <rFont val="Segoe UL9"/>
          </rPr>
          <t xml:space="preserve">Divisor </t>
        </r>
        <r>
          <rPr>
            <b/>
            <sz val="9"/>
            <color indexed="81"/>
            <rFont val="Symbol"/>
            <family val="1"/>
            <charset val="2"/>
          </rPr>
          <t>= Ö</t>
        </r>
        <r>
          <rPr>
            <b/>
            <sz val="9"/>
            <color indexed="81"/>
            <rFont val="Segoe UI"/>
            <family val="2"/>
          </rPr>
          <t>12</t>
        </r>
      </text>
    </comment>
    <comment ref="Y69" authorId="0" shapeId="0" xr:uid="{D1366487-8F54-4B6F-89F6-178EBADBDFA5}">
      <text>
        <r>
          <rPr>
            <b/>
            <sz val="9"/>
            <color indexed="81"/>
            <rFont val="Segoe UI"/>
            <family val="2"/>
          </rPr>
          <t xml:space="preserve">Se a incerteza padrão da componente de repetitividade for nula, o grau de liberdade dessa componente é infinito, acarretando o mesmo para o grau de liberdade efetivo do resultado final.
Quando o grau de liberdade for maior que 1000000, adota-se grau de liberdade infinito, uma vez que para grau 1000000 o fator de cobertura é praticamente 2 (aproximação de 2,00000494). Isto foi feito apenas para evitar o aparecimento de valores em notação científica, modo que não compatibiliza com o símbolo infinito, exibido em letra Symbol - a única que viabiliza o símbolo de infinito. </t>
        </r>
      </text>
    </comment>
    <comment ref="AC70" authorId="0" shapeId="0" xr:uid="{C8A7A7C9-3E92-4EC0-AD3E-FFAAC034CB7A}">
      <text>
        <r>
          <rPr>
            <b/>
            <sz val="9"/>
            <color indexed="81"/>
            <rFont val="Segoe UI"/>
            <family val="2"/>
          </rPr>
          <t>Manter as células T, U, V com estilo Symbol, para permitir o símbolo de infinito.</t>
        </r>
        <r>
          <rPr>
            <sz val="9"/>
            <color indexed="81"/>
            <rFont val="Segoe UI"/>
            <family val="2"/>
          </rPr>
          <t xml:space="preserve">
</t>
        </r>
      </text>
    </comment>
    <comment ref="C71" authorId="0" shapeId="0" xr:uid="{D5E49A68-6B87-4434-A4DE-BF535E35561F}">
      <text>
        <r>
          <rPr>
            <b/>
            <sz val="9"/>
            <color indexed="81"/>
            <rFont val="Segoe UI"/>
            <family val="2"/>
          </rPr>
          <t>Incerteza combinada multiplicada pelo fator de cobertura obtido para gerar probabilidade de 95,45%.</t>
        </r>
        <r>
          <rPr>
            <sz val="9"/>
            <color indexed="81"/>
            <rFont val="Segoe UI"/>
            <family val="2"/>
          </rPr>
          <t xml:space="preserve">
</t>
        </r>
      </text>
    </comment>
    <comment ref="Y71" authorId="0" shapeId="0" xr:uid="{27FDC771-B352-4CC3-B0DA-63243F12C2DF}">
      <text>
        <r>
          <rPr>
            <b/>
            <sz val="9"/>
            <color indexed="81"/>
            <rFont val="Segoe UI"/>
            <family val="2"/>
          </rPr>
          <t xml:space="preserve">Para probabilidade 95,45% e grau de liberdade efetivo infinito, o fator de cobertura é igual a 2.
Também, quando o grau de liberdade efetivo for maior que 1000000, aproxima-se o fator de cobertura para 2,000, arredondamento de 2,00000494, valor com 5 casas decimais nulas. Nos demais casos o fator é sempre calculado.
</t>
        </r>
      </text>
    </comment>
    <comment ref="C72" authorId="0" shapeId="0" xr:uid="{2F3F1F96-5CE1-4D8C-999A-BF482349A2D8}">
      <text>
        <r>
          <rPr>
            <b/>
            <sz val="9"/>
            <color indexed="81"/>
            <rFont val="Segoe UI"/>
            <family val="2"/>
          </rPr>
          <t>Critério de arredondamento: se o erro de arredondamento para baixo for maior que 5%, arredonda para cima com um algarismo significativo. Se for menor que 5% arredonda para baixo com um algarismo significativo.</t>
        </r>
      </text>
    </comment>
    <comment ref="Y76" authorId="0" shapeId="0" xr:uid="{91109DE3-710E-40DE-90A8-9093DFCE6DD0}">
      <text>
        <r>
          <rPr>
            <b/>
            <sz val="9"/>
            <color indexed="81"/>
            <rFont val="Segoe UI"/>
            <family val="2"/>
          </rPr>
          <t xml:space="preserve">Não admite grau de liberdade para uma medida. Somente a partir de duas medidas. </t>
        </r>
      </text>
    </comment>
    <comment ref="C79" authorId="0" shapeId="0" xr:uid="{4968A2D1-441C-4C0A-A2EA-C891438250C8}">
      <text>
        <r>
          <rPr>
            <b/>
            <sz val="9"/>
            <color indexed="81"/>
            <rFont val="Segoe UI"/>
            <family val="2"/>
          </rPr>
          <t>Contabiliza a deriva entre a calibração original pela Starna e a última calibração. Toma a deriva mensal média daquele período e estima a deriva proporcional ao número de meses desde o mês da última calibração.
Conforme SP 260-140, os filtros são pré-sazonados, de forma que a única deriva ocorre por contaminação da superfície, reduzindo a transmitância (aumentando a absorbância).</t>
        </r>
      </text>
    </comment>
    <comment ref="C80" authorId="0" shapeId="0" xr:uid="{0DA25083-C29A-4EC9-933A-2F8762795ABA}">
      <text>
        <r>
          <rPr>
            <b/>
            <sz val="9"/>
            <color indexed="81"/>
            <rFont val="Segoe UI"/>
            <family val="2"/>
          </rPr>
          <t xml:space="preserve">Desvio padrão experimental da média das leituras: </t>
        </r>
        <r>
          <rPr>
            <b/>
            <sz val="9"/>
            <color indexed="81"/>
            <rFont val="Symbol"/>
            <family val="1"/>
            <charset val="2"/>
          </rPr>
          <t>Ö</t>
        </r>
        <r>
          <rPr>
            <b/>
            <sz val="9"/>
            <color indexed="81"/>
            <rFont val="Segoe UI"/>
            <family val="2"/>
          </rPr>
          <t xml:space="preserve"> </t>
        </r>
        <r>
          <rPr>
            <sz val="9"/>
            <color indexed="81"/>
            <rFont val="Symbol"/>
            <family val="1"/>
            <charset val="2"/>
          </rPr>
          <t>S</t>
        </r>
        <r>
          <rPr>
            <b/>
            <sz val="9"/>
            <color indexed="81"/>
            <rFont val="Segoe UI"/>
            <family val="2"/>
          </rPr>
          <t>(x</t>
        </r>
        <r>
          <rPr>
            <b/>
            <vertAlign val="subscript"/>
            <sz val="9"/>
            <color indexed="81"/>
            <rFont val="Segoe UI"/>
            <family val="2"/>
          </rPr>
          <t>i</t>
        </r>
        <r>
          <rPr>
            <b/>
            <sz val="9"/>
            <color indexed="81"/>
            <rFont val="Segoe UI"/>
            <family val="2"/>
          </rPr>
          <t xml:space="preserve"> - x</t>
        </r>
        <r>
          <rPr>
            <b/>
            <vertAlign val="subscript"/>
            <sz val="9"/>
            <color indexed="81"/>
            <rFont val="Segoe UI"/>
            <family val="2"/>
          </rPr>
          <t>médio</t>
        </r>
        <r>
          <rPr>
            <b/>
            <sz val="9"/>
            <color indexed="81"/>
            <rFont val="Segoe UI"/>
            <family val="2"/>
          </rPr>
          <t>)</t>
        </r>
        <r>
          <rPr>
            <b/>
            <vertAlign val="superscript"/>
            <sz val="9"/>
            <color indexed="81"/>
            <rFont val="Segoe UI"/>
            <family val="2"/>
          </rPr>
          <t>2</t>
        </r>
        <r>
          <rPr>
            <b/>
            <sz val="9"/>
            <color indexed="81"/>
            <rFont val="Segoe UI"/>
            <family val="2"/>
          </rPr>
          <t>/(n - 1)</t>
        </r>
      </text>
    </comment>
    <comment ref="C81" authorId="0" shapeId="0" xr:uid="{078D28F5-F4DF-4688-BF39-530BACE8D0F1}">
      <text>
        <r>
          <rPr>
            <b/>
            <sz val="9"/>
            <color indexed="81"/>
            <rFont val="Segoe UI"/>
            <family val="2"/>
          </rPr>
          <t xml:space="preserve">Seleciona na aba Registro de Dados a resolução do espectrofotômetro, em absorbância. </t>
        </r>
        <r>
          <rPr>
            <sz val="9"/>
            <color indexed="81"/>
            <rFont val="Segoe UI"/>
            <family val="2"/>
          </rPr>
          <t xml:space="preserve">
</t>
        </r>
      </text>
    </comment>
    <comment ref="O81" authorId="0" shapeId="0" xr:uid="{701E676A-71A6-446F-B7CE-8E849F5320E3}">
      <text>
        <r>
          <rPr>
            <b/>
            <sz val="9"/>
            <color indexed="81"/>
            <rFont val="Segoe UL9"/>
          </rPr>
          <t xml:space="preserve">Divisor </t>
        </r>
        <r>
          <rPr>
            <b/>
            <sz val="9"/>
            <color indexed="81"/>
            <rFont val="Symbol"/>
            <family val="1"/>
            <charset val="2"/>
          </rPr>
          <t>= Ö</t>
        </r>
        <r>
          <rPr>
            <b/>
            <sz val="9"/>
            <color indexed="81"/>
            <rFont val="Segoe UI"/>
            <family val="2"/>
          </rPr>
          <t>12</t>
        </r>
      </text>
    </comment>
    <comment ref="Y82" authorId="0" shapeId="0" xr:uid="{016DEC62-1E97-4712-88C5-7FD58125F895}">
      <text>
        <r>
          <rPr>
            <b/>
            <sz val="9"/>
            <color indexed="81"/>
            <rFont val="Segoe UI"/>
            <family val="2"/>
          </rPr>
          <t xml:space="preserve">Se a incerteza padrão da componente de repetitividade for nula, o grau de liberdade dessa componente é infinito, acarretando o mesmo para o grau de liberdade efetivo do resultado final.
Quando o grau de liberdade for maior que 1000000, adota-se grau de liberdade infinito, uma vez que para grau 1000000 o fator de cobertura é praticamente 2 (aproximação de 2,00000494). Isto foi feito apenas para evitar o aparecimento de valores em notação científica, modo que não compatibiliza com o símbolo infinito, exibido em letra Symbol - a única que viabiliza o símbolo de infinito. </t>
        </r>
      </text>
    </comment>
    <comment ref="AC83" authorId="0" shapeId="0" xr:uid="{513B85EE-E58F-4EC9-AF44-855A54648055}">
      <text>
        <r>
          <rPr>
            <b/>
            <sz val="9"/>
            <color indexed="81"/>
            <rFont val="Segoe UI"/>
            <family val="2"/>
          </rPr>
          <t>Manter as células T, U, V com estilo Symbol, para permitir o símbolo de infinito.</t>
        </r>
        <r>
          <rPr>
            <sz val="9"/>
            <color indexed="81"/>
            <rFont val="Segoe UI"/>
            <family val="2"/>
          </rPr>
          <t xml:space="preserve">
</t>
        </r>
      </text>
    </comment>
    <comment ref="C84" authorId="0" shapeId="0" xr:uid="{7EB02C33-BA1F-4AF0-81E5-409200F6C050}">
      <text>
        <r>
          <rPr>
            <b/>
            <sz val="9"/>
            <color indexed="81"/>
            <rFont val="Segoe UI"/>
            <family val="2"/>
          </rPr>
          <t>Incerteza combinada multiplicada pelo fator de cobertura obtido para gerar probabilidade de 95,45%.</t>
        </r>
        <r>
          <rPr>
            <sz val="9"/>
            <color indexed="81"/>
            <rFont val="Segoe UI"/>
            <family val="2"/>
          </rPr>
          <t xml:space="preserve">
</t>
        </r>
      </text>
    </comment>
    <comment ref="Y84" authorId="0" shapeId="0" xr:uid="{973D9F02-3FEC-44DC-9EC7-393CB9F530D4}">
      <text>
        <r>
          <rPr>
            <b/>
            <sz val="9"/>
            <color indexed="81"/>
            <rFont val="Segoe UI"/>
            <family val="2"/>
          </rPr>
          <t xml:space="preserve">Para probabilidade 95,45% e grau de liberdade efetivo infinito, o fator de cobertura é igual a 2.
Também, quando o grau de liberdade efetivo for maior que 1000000, aproxima-se o fator de cobertura para 2,000, arredondamento de 2,00000494, valor com 5 casas decimais nulas. Nos demais casos o fator é sempre calculado.
</t>
        </r>
      </text>
    </comment>
    <comment ref="C85" authorId="0" shapeId="0" xr:uid="{072EAABA-1786-4847-9A12-9D25DE2CCECB}">
      <text>
        <r>
          <rPr>
            <b/>
            <sz val="9"/>
            <color indexed="81"/>
            <rFont val="Segoe UI"/>
            <family val="2"/>
          </rPr>
          <t>Critério de arredondamento: se o erro de arredondamento para baixo for maior que 5%, arredonda para cima com um algarismo significativo. Se for menor que 5% arredonda para baixo com um algarismo significativo.</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7800EFE-9516-466F-8419-029B25FE6ABD}" keepAlive="1" name="Consulta - Tabela2" description="Conexão com a consulta 'Tabela2' na pasta de trabalho." type="5" refreshedVersion="7" background="1" saveData="1">
    <dbPr connection="Provider=Microsoft.Mashup.OleDb.1;Data Source=$Workbook$;Location=Tabela2;Extended Properties=&quot;&quot;" command="SELECT * FROM [Tabela2]"/>
  </connection>
</connections>
</file>

<file path=xl/sharedStrings.xml><?xml version="1.0" encoding="utf-8"?>
<sst xmlns="http://schemas.openxmlformats.org/spreadsheetml/2006/main" count="3219" uniqueCount="480">
  <si>
    <t>REGISTRO DE MEDIÇÃO</t>
  </si>
  <si>
    <t>Ordem de Serviço N°</t>
  </si>
  <si>
    <t>Nº do Certificado</t>
  </si>
  <si>
    <t>Data de Calibração:</t>
  </si>
  <si>
    <t>Recebido</t>
  </si>
  <si>
    <t>CLIENTE / Solicitante</t>
  </si>
  <si>
    <t>ENDEREÇO:</t>
  </si>
  <si>
    <t>DADOS TÉCNICOS DO INSTRUMENTOS</t>
  </si>
  <si>
    <t>Nome do equipamento:</t>
  </si>
  <si>
    <t>Marca:</t>
  </si>
  <si>
    <t>Modelo:</t>
  </si>
  <si>
    <t>Nº de Série:</t>
  </si>
  <si>
    <t>Critério de Aceitação</t>
  </si>
  <si>
    <t>Local</t>
  </si>
  <si>
    <t>Sub Local:</t>
  </si>
  <si>
    <t>Faixa de:</t>
  </si>
  <si>
    <t>Faixa até:</t>
  </si>
  <si>
    <t>Unidade:</t>
  </si>
  <si>
    <t>TAG:</t>
  </si>
  <si>
    <t>PADRÕES UTILIZADOS NA CALIBRAÇÃO</t>
  </si>
  <si>
    <t>LBC-</t>
  </si>
  <si>
    <t>Condições Ambiente:</t>
  </si>
  <si>
    <t>Temperat:</t>
  </si>
  <si>
    <t>°C</t>
  </si>
  <si>
    <t>Pressão:</t>
  </si>
  <si>
    <t>Umidade:</t>
  </si>
  <si>
    <t>Ponto</t>
  </si>
  <si>
    <t>Leitura 1</t>
  </si>
  <si>
    <t>Leitura 2</t>
  </si>
  <si>
    <t>Leitura 3</t>
  </si>
  <si>
    <t>CALIBRAÇÃO FINAL</t>
  </si>
  <si>
    <t>PRÉ CALIBRAÇÃO</t>
  </si>
  <si>
    <t>VALOR IDEAL</t>
  </si>
  <si>
    <t>Observações:</t>
  </si>
  <si>
    <t>Executante</t>
  </si>
  <si>
    <t>Assinatura:</t>
  </si>
  <si>
    <t>Frequência de Calibração (meses)</t>
  </si>
  <si>
    <t>Desejado</t>
  </si>
  <si>
    <t>Leitura</t>
  </si>
  <si>
    <r>
      <t xml:space="preserve">Injeção de sinal ( RESISTÊNCIA - </t>
    </r>
    <r>
      <rPr>
        <b/>
        <sz val="14"/>
        <color indexed="8"/>
        <rFont val="Calibri"/>
        <family val="2"/>
      </rPr>
      <t>Ω)</t>
    </r>
  </si>
  <si>
    <t>Padrão</t>
  </si>
  <si>
    <r>
      <t xml:space="preserve">Solução Padrão de Condutividade - </t>
    </r>
    <r>
      <rPr>
        <b/>
        <sz val="14"/>
        <color indexed="8"/>
        <rFont val="Calibri"/>
        <family val="2"/>
      </rPr>
      <t>µS/cm²</t>
    </r>
  </si>
  <si>
    <t>Padrão (Ω)</t>
  </si>
  <si>
    <t>Resuloção:</t>
  </si>
  <si>
    <t>Espectrofotômetro</t>
  </si>
  <si>
    <t>39343-5D</t>
  </si>
  <si>
    <t>45296-HG</t>
  </si>
  <si>
    <t>Absorbância</t>
  </si>
  <si>
    <t>Def.Cliente</t>
  </si>
  <si>
    <t>Temperat i:</t>
  </si>
  <si>
    <t xml:space="preserve">Temperat f: </t>
  </si>
  <si>
    <t xml:space="preserve">Temperat i: </t>
  </si>
  <si>
    <t>Escala Fotométrica</t>
  </si>
  <si>
    <t>nm</t>
  </si>
  <si>
    <t>Largura de Banda:</t>
  </si>
  <si>
    <r>
      <t xml:space="preserve">Escala </t>
    </r>
    <r>
      <rPr>
        <sz val="9"/>
        <color indexed="8"/>
        <rFont val="Symbol"/>
        <family val="1"/>
        <charset val="2"/>
      </rPr>
      <t>l</t>
    </r>
  </si>
  <si>
    <t>nm/s</t>
  </si>
  <si>
    <t>Vel. Varr.</t>
  </si>
  <si>
    <t>Resolução:</t>
  </si>
  <si>
    <t>Abs</t>
  </si>
  <si>
    <t>%T</t>
  </si>
  <si>
    <t>Starna</t>
  </si>
  <si>
    <t>Jogo:</t>
  </si>
  <si>
    <t>LBC-203</t>
  </si>
  <si>
    <t>Faixa:</t>
  </si>
  <si>
    <t>CONDIÇÃO AMBIENTAL NA CALIBRAÇÃO</t>
  </si>
  <si>
    <t>PARÂMETROS  DE CALIBRAÇÃO DO ESPECTROFOTÔMETRO</t>
  </si>
  <si>
    <t>DADOS TÉCNICOS DO INSTRUMENTO</t>
  </si>
  <si>
    <t>44599-1N</t>
  </si>
  <si>
    <t>44602-3N</t>
  </si>
  <si>
    <t>CALIBRAÇÃO - ESCALA DE COMPRIMENTOS DE ONDA</t>
  </si>
  <si>
    <t>CALIBRAÇÃO - ESCALA FOTOMÉTRICA</t>
  </si>
  <si>
    <t>Sequência: branco l-2, filtro 637,49 l-2, branco l-1, filtro 637,49 l-1, branco l-0, filtro 637,49 l-0...repete para l+1 e l+2. Repete Segunda medição filtro 637,49</t>
  </si>
  <si>
    <t>MASTER</t>
  </si>
  <si>
    <t>Wavelength [nm]</t>
  </si>
  <si>
    <t>Issued: February 12, 2008</t>
  </si>
  <si>
    <t>Acesso:</t>
  </si>
  <si>
    <t>Holmium Oxide Glass</t>
  </si>
  <si>
    <t>Certified wavelengths</t>
  </si>
  <si>
    <t>NIST</t>
  </si>
  <si>
    <t>Data:[nm]</t>
  </si>
  <si>
    <r>
      <t xml:space="preserve"> l </t>
    </r>
    <r>
      <rPr>
        <b/>
        <sz val="9"/>
        <color indexed="8"/>
        <rFont val="Calibri"/>
        <family val="2"/>
      </rPr>
      <t>Padrão</t>
    </r>
  </si>
  <si>
    <r>
      <t xml:space="preserve"> l </t>
    </r>
    <r>
      <rPr>
        <b/>
        <sz val="9"/>
        <color indexed="8"/>
        <rFont val="Calibri"/>
        <family val="2"/>
      </rPr>
      <t>(nm)</t>
    </r>
  </si>
  <si>
    <t>https://www.nist.gov/document/holmiumoxidemasteronly20080212.xls</t>
  </si>
  <si>
    <r>
      <t xml:space="preserve"> l</t>
    </r>
    <r>
      <rPr>
        <b/>
        <sz val="9"/>
        <color indexed="8"/>
        <rFont val="Calibri"/>
        <family val="2"/>
      </rPr>
      <t>padrão</t>
    </r>
    <r>
      <rPr>
        <b/>
        <sz val="9"/>
        <color indexed="8"/>
        <rFont val="Symbol"/>
        <family val="1"/>
        <charset val="2"/>
      </rPr>
      <t xml:space="preserve"> </t>
    </r>
    <r>
      <rPr>
        <b/>
        <sz val="9"/>
        <color indexed="8"/>
        <rFont val="Calibri"/>
        <family val="2"/>
      </rPr>
      <t>(nm)</t>
    </r>
  </si>
  <si>
    <t xml:space="preserve">Sequência de medições: Lambda mínimo (440 nm); branco; filtro 10 %; Lambda 465 nm; branco; filtro 10%; repete até Lambda 635 nm. Repete outra série. Repete para filtros 30%, 50%. </t>
  </si>
  <si>
    <r>
      <rPr>
        <b/>
        <sz val="9"/>
        <color indexed="8"/>
        <rFont val="Calibri"/>
        <family val="2"/>
      </rPr>
      <t xml:space="preserve"> Abs</t>
    </r>
    <r>
      <rPr>
        <b/>
        <sz val="9"/>
        <color indexed="8"/>
        <rFont val="Symbol"/>
        <family val="1"/>
        <charset val="2"/>
      </rPr>
      <t xml:space="preserve"> </t>
    </r>
    <r>
      <rPr>
        <b/>
        <sz val="9"/>
        <color indexed="8"/>
        <rFont val="Calibri"/>
        <family val="2"/>
      </rPr>
      <t>padrão</t>
    </r>
  </si>
  <si>
    <t>LB =</t>
  </si>
  <si>
    <r>
      <rPr>
        <b/>
        <sz val="10"/>
        <rFont val="Symbol"/>
        <family val="1"/>
        <charset val="2"/>
      </rPr>
      <t>l</t>
    </r>
    <r>
      <rPr>
        <b/>
        <sz val="10"/>
        <rFont val="Arial"/>
        <family val="2"/>
      </rPr>
      <t xml:space="preserve"> base</t>
    </r>
  </si>
  <si>
    <t>A base</t>
  </si>
  <si>
    <r>
      <rPr>
        <b/>
        <sz val="10"/>
        <rFont val="Symbol"/>
        <family val="1"/>
        <charset val="2"/>
      </rPr>
      <t>l</t>
    </r>
    <r>
      <rPr>
        <b/>
        <sz val="10"/>
        <rFont val="Arial"/>
        <family val="2"/>
      </rPr>
      <t xml:space="preserve"> pico</t>
    </r>
  </si>
  <si>
    <t>A pico</t>
  </si>
  <si>
    <r>
      <rPr>
        <b/>
        <sz val="10"/>
        <rFont val="Symbol"/>
        <family val="1"/>
        <charset val="2"/>
      </rPr>
      <t>l</t>
    </r>
    <r>
      <rPr>
        <b/>
        <sz val="10"/>
        <rFont val="Arial"/>
        <family val="2"/>
      </rPr>
      <t xml:space="preserve"> min =</t>
    </r>
  </si>
  <si>
    <r>
      <rPr>
        <b/>
        <sz val="11"/>
        <rFont val="Symbol"/>
        <family val="1"/>
        <charset val="2"/>
      </rPr>
      <t>D</t>
    </r>
    <r>
      <rPr>
        <b/>
        <sz val="10"/>
        <rFont val="Arial"/>
        <family val="2"/>
      </rPr>
      <t xml:space="preserve">A = </t>
    </r>
  </si>
  <si>
    <r>
      <rPr>
        <b/>
        <sz val="10"/>
        <rFont val="Symbol"/>
        <family val="1"/>
        <charset val="2"/>
      </rPr>
      <t>l</t>
    </r>
    <r>
      <rPr>
        <b/>
        <sz val="10"/>
        <rFont val="Arial"/>
        <family val="2"/>
      </rPr>
      <t xml:space="preserve"> máx = </t>
    </r>
  </si>
  <si>
    <t>Absorvância Larg. Banda</t>
  </si>
  <si>
    <t>A lar ban</t>
  </si>
  <si>
    <t xml:space="preserve">Abs Média </t>
  </si>
  <si>
    <r>
      <t xml:space="preserve">Abs </t>
    </r>
    <r>
      <rPr>
        <b/>
        <vertAlign val="subscript"/>
        <sz val="10"/>
        <color indexed="8"/>
        <rFont val="Calibri"/>
        <family val="2"/>
      </rPr>
      <t>Média - Branco</t>
    </r>
  </si>
  <si>
    <t>Erro</t>
  </si>
  <si>
    <t>No. Medições</t>
  </si>
  <si>
    <t>DPEM</t>
  </si>
  <si>
    <t>Descrição:</t>
  </si>
  <si>
    <t>Termohigrômetro</t>
  </si>
  <si>
    <t>1.</t>
  </si>
  <si>
    <t>2.</t>
  </si>
  <si>
    <t># Série</t>
  </si>
  <si>
    <t>Data de Calibração</t>
  </si>
  <si>
    <t>Filtros Padrões de Comprimento de Onda e Absorbância</t>
  </si>
  <si>
    <t>Jogo</t>
  </si>
  <si>
    <t>LBE</t>
  </si>
  <si>
    <t>[nm]</t>
  </si>
  <si>
    <t>Nominal</t>
  </si>
  <si>
    <t>--x--</t>
  </si>
  <si>
    <t>CADASTRO DE PADRÕES ESPECTROFOTOMÉTRICOS</t>
  </si>
  <si>
    <t>AVALIAÇÃO DE INCERTEZA DE MEDIÇÕES</t>
  </si>
  <si>
    <t># de Série:</t>
  </si>
  <si>
    <t>Componentes de Incerteza</t>
  </si>
  <si>
    <r>
      <t xml:space="preserve">Coeficiente de Sensibilidade </t>
    </r>
    <r>
      <rPr>
        <b/>
        <i/>
        <sz val="9"/>
        <color indexed="8"/>
        <rFont val="Calibri"/>
        <family val="2"/>
      </rPr>
      <t>C</t>
    </r>
    <r>
      <rPr>
        <b/>
        <i/>
        <vertAlign val="subscript"/>
        <sz val="9"/>
        <color indexed="8"/>
        <rFont val="Calibri"/>
        <family val="2"/>
      </rPr>
      <t>i</t>
    </r>
  </si>
  <si>
    <t>Incerteza Padrão</t>
  </si>
  <si>
    <t>Grau de Liberdade da Componente</t>
  </si>
  <si>
    <t>Contribuição Percentual [%]</t>
  </si>
  <si>
    <t>Símbolo</t>
  </si>
  <si>
    <t>Identificação da Componente</t>
  </si>
  <si>
    <t>Unidade</t>
  </si>
  <si>
    <t>Tipo</t>
  </si>
  <si>
    <t>Distribuição</t>
  </si>
  <si>
    <t>Divisor</t>
  </si>
  <si>
    <t>Valor</t>
  </si>
  <si>
    <r>
      <t>u</t>
    </r>
    <r>
      <rPr>
        <i/>
        <vertAlign val="subscript"/>
        <sz val="9"/>
        <rFont val="Arial"/>
        <family val="2"/>
      </rPr>
      <t>A</t>
    </r>
  </si>
  <si>
    <t>UB</t>
  </si>
  <si>
    <t>A</t>
  </si>
  <si>
    <t>N</t>
  </si>
  <si>
    <t>/</t>
  </si>
  <si>
    <r>
      <t>u</t>
    </r>
    <r>
      <rPr>
        <i/>
        <vertAlign val="subscript"/>
        <sz val="9"/>
        <rFont val="Arial"/>
        <family val="2"/>
      </rPr>
      <t>R</t>
    </r>
  </si>
  <si>
    <t>Resolução do instrumento em calibração</t>
  </si>
  <si>
    <t>B</t>
  </si>
  <si>
    <t>R</t>
  </si>
  <si>
    <t>¥</t>
  </si>
  <si>
    <r>
      <t>u</t>
    </r>
    <r>
      <rPr>
        <i/>
        <vertAlign val="subscript"/>
        <sz val="9"/>
        <rFont val="Arial"/>
        <family val="2"/>
      </rPr>
      <t>PC</t>
    </r>
  </si>
  <si>
    <r>
      <t>u</t>
    </r>
    <r>
      <rPr>
        <i/>
        <vertAlign val="subscript"/>
        <sz val="9"/>
        <rFont val="Arial"/>
        <family val="2"/>
      </rPr>
      <t>PD</t>
    </r>
  </si>
  <si>
    <t>Grau de Liberdade  Efetivo</t>
  </si>
  <si>
    <r>
      <t>u</t>
    </r>
    <r>
      <rPr>
        <i/>
        <vertAlign val="subscript"/>
        <sz val="9"/>
        <rFont val="Arial"/>
        <family val="2"/>
      </rPr>
      <t>c</t>
    </r>
  </si>
  <si>
    <t>INCERTEZA COMBINADA</t>
  </si>
  <si>
    <r>
      <t>u</t>
    </r>
    <r>
      <rPr>
        <i/>
        <vertAlign val="subscript"/>
        <sz val="9"/>
        <rFont val="Arial"/>
        <family val="2"/>
      </rPr>
      <t>95</t>
    </r>
  </si>
  <si>
    <t>INCERTEZA EXPANDIDA (Aprox. 95%)</t>
  </si>
  <si>
    <t>Fator de Cobertura para P = 95,45%</t>
  </si>
  <si>
    <t>INCERTEZA EXPANDIDA (Arredondada)</t>
  </si>
  <si>
    <t>Filtro de densidade neutra</t>
  </si>
  <si>
    <t>Padrão:</t>
  </si>
  <si>
    <t>T</t>
  </si>
  <si>
    <t>Padrões de Absorbância - Filtros de Densidade Neutra Starna</t>
  </si>
  <si>
    <r>
      <t xml:space="preserve">Valor de Referência </t>
    </r>
    <r>
      <rPr>
        <b/>
        <sz val="11"/>
        <rFont val="Calibri"/>
        <family val="2"/>
      </rPr>
      <t xml:space="preserve"> [</t>
    </r>
    <r>
      <rPr>
        <b/>
        <sz val="11"/>
        <rFont val="Symbol"/>
        <family val="1"/>
        <charset val="2"/>
      </rPr>
      <t xml:space="preserve">l </t>
    </r>
    <r>
      <rPr>
        <b/>
        <sz val="11"/>
        <rFont val="Calibri"/>
        <family val="2"/>
      </rPr>
      <t>, nm]</t>
    </r>
  </si>
  <si>
    <r>
      <t>Valor de Referência [A(</t>
    </r>
    <r>
      <rPr>
        <b/>
        <sz val="11"/>
        <rFont val="Symbol"/>
        <family val="1"/>
        <charset val="2"/>
      </rPr>
      <t>l</t>
    </r>
    <r>
      <rPr>
        <b/>
        <sz val="11"/>
        <rFont val="Calibri"/>
        <family val="2"/>
      </rPr>
      <t>)]</t>
    </r>
  </si>
  <si>
    <r>
      <t>Incerteza de Referência [A(</t>
    </r>
    <r>
      <rPr>
        <b/>
        <sz val="11"/>
        <color indexed="8"/>
        <rFont val="Symbol"/>
        <family val="1"/>
        <charset val="2"/>
      </rPr>
      <t>l</t>
    </r>
    <r>
      <rPr>
        <b/>
        <sz val="11"/>
        <color indexed="8"/>
        <rFont val="Calibri"/>
        <family val="2"/>
      </rPr>
      <t>)]</t>
    </r>
  </si>
  <si>
    <r>
      <t>Incerteza de Referência  [A(</t>
    </r>
    <r>
      <rPr>
        <b/>
        <sz val="11"/>
        <color indexed="8"/>
        <rFont val="Symbol"/>
        <family val="1"/>
        <charset val="2"/>
      </rPr>
      <t>l</t>
    </r>
    <r>
      <rPr>
        <b/>
        <sz val="11"/>
        <color indexed="8"/>
        <rFont val="Calibri"/>
        <family val="2"/>
      </rPr>
      <t>)]</t>
    </r>
  </si>
  <si>
    <t>U</t>
  </si>
  <si>
    <t>K</t>
  </si>
  <si>
    <t>n</t>
  </si>
  <si>
    <t>&gt; 1000</t>
  </si>
  <si>
    <t>Padrões de Transmitância  - Filtro de Densidade Neutra Starna</t>
  </si>
  <si>
    <t>Padrão de Comprimento de Onda - Filtro de Óxido de Hólmio em Vidro Starna</t>
  </si>
  <si>
    <t>Valor do padrão (Abs):</t>
  </si>
  <si>
    <t>Densidade neutra 1 A</t>
  </si>
  <si>
    <t>Largura de banda:</t>
  </si>
  <si>
    <t>Incerteza do padrão de absorbância</t>
  </si>
  <si>
    <r>
      <t>u</t>
    </r>
    <r>
      <rPr>
        <b/>
        <vertAlign val="subscript"/>
        <sz val="9"/>
        <color indexed="8"/>
        <rFont val="Calibri"/>
        <family val="2"/>
      </rPr>
      <t>i</t>
    </r>
    <r>
      <rPr>
        <b/>
        <sz val="9"/>
        <color indexed="8"/>
        <rFont val="Calibri"/>
        <family val="2"/>
      </rPr>
      <t xml:space="preserve"> (A(440))</t>
    </r>
  </si>
  <si>
    <r>
      <t>u</t>
    </r>
    <r>
      <rPr>
        <b/>
        <vertAlign val="subscript"/>
        <sz val="9"/>
        <color indexed="8"/>
        <rFont val="Calibri"/>
        <family val="2"/>
      </rPr>
      <t>i</t>
    </r>
    <r>
      <rPr>
        <b/>
        <sz val="9"/>
        <color indexed="8"/>
        <rFont val="Calibri"/>
        <family val="2"/>
      </rPr>
      <t xml:space="preserve"> (A(465))</t>
    </r>
  </si>
  <si>
    <r>
      <t>u</t>
    </r>
    <r>
      <rPr>
        <b/>
        <vertAlign val="subscript"/>
        <sz val="9"/>
        <color indexed="8"/>
        <rFont val="Calibri"/>
        <family val="2"/>
      </rPr>
      <t>i</t>
    </r>
    <r>
      <rPr>
        <b/>
        <sz val="9"/>
        <color indexed="8"/>
        <rFont val="Calibri"/>
        <family val="2"/>
      </rPr>
      <t xml:space="preserve"> (A(546,1))</t>
    </r>
  </si>
  <si>
    <r>
      <t>u</t>
    </r>
    <r>
      <rPr>
        <b/>
        <vertAlign val="subscript"/>
        <sz val="9"/>
        <color indexed="8"/>
        <rFont val="Calibri"/>
        <family val="2"/>
      </rPr>
      <t>i</t>
    </r>
    <r>
      <rPr>
        <b/>
        <sz val="9"/>
        <color indexed="8"/>
        <rFont val="Calibri"/>
        <family val="2"/>
      </rPr>
      <t xml:space="preserve"> (A(590))</t>
    </r>
  </si>
  <si>
    <r>
      <t>u</t>
    </r>
    <r>
      <rPr>
        <b/>
        <vertAlign val="subscript"/>
        <sz val="9"/>
        <color indexed="8"/>
        <rFont val="Calibri"/>
        <family val="2"/>
      </rPr>
      <t>i</t>
    </r>
    <r>
      <rPr>
        <b/>
        <sz val="9"/>
        <color indexed="8"/>
        <rFont val="Calibri"/>
        <family val="2"/>
      </rPr>
      <t xml:space="preserve"> (A(635))</t>
    </r>
  </si>
  <si>
    <t>ESCALA FOTOMÉTRICA - BRANCOS</t>
  </si>
  <si>
    <t>ESCALA FOTOMÉTRICA - MODO ABSORBÂNCIA</t>
  </si>
  <si>
    <t>ESCALA FOTOMÉTRICA - RESULTADOS</t>
  </si>
  <si>
    <r>
      <t xml:space="preserve">Abs Média </t>
    </r>
    <r>
      <rPr>
        <b/>
        <vertAlign val="subscript"/>
        <sz val="10"/>
        <color indexed="8"/>
        <rFont val="Calibri"/>
        <family val="2"/>
      </rPr>
      <t>Branco</t>
    </r>
  </si>
  <si>
    <t>Repetitividade das leituras do instrumento</t>
  </si>
  <si>
    <t>Identificação:</t>
  </si>
  <si>
    <t>Deriva do padrão</t>
  </si>
  <si>
    <t>Lab Cal</t>
  </si>
  <si>
    <t>Visomes</t>
  </si>
  <si>
    <t>continuar com estimativa de incerteza em transmitância para a calibração Starna</t>
  </si>
  <si>
    <t>Segundo o SP-260-116, tabela 7, a transmitância aumenta com os anos. A tabela reporta 4 anos, resultado do efeito de blooming</t>
  </si>
  <si>
    <t xml:space="preserve">Dúvida: as incertezas da Visomes são 0,12 a 0,42 ou 0,12% a 0,42% ??? No SRM 930e as incertezas são 0,0005 a 0,0017, ou seja, 0,05% a 0,17%. </t>
  </si>
  <si>
    <t>IPT</t>
  </si>
  <si>
    <t>2014 - 2019</t>
  </si>
  <si>
    <t>2019 - 2021</t>
  </si>
  <si>
    <t>2014 - 2021</t>
  </si>
  <si>
    <t>5 anos 1 mês</t>
  </si>
  <si>
    <r>
      <t>Valor de Referência [T(</t>
    </r>
    <r>
      <rPr>
        <b/>
        <sz val="11"/>
        <rFont val="Symbol"/>
        <family val="1"/>
        <charset val="2"/>
      </rPr>
      <t>l</t>
    </r>
    <r>
      <rPr>
        <b/>
        <sz val="11"/>
        <rFont val="Calibri"/>
        <family val="2"/>
      </rPr>
      <t>) %]</t>
    </r>
  </si>
  <si>
    <r>
      <t>Incerteza de Referência  [T(</t>
    </r>
    <r>
      <rPr>
        <b/>
        <sz val="11"/>
        <color indexed="8"/>
        <rFont val="Symbol"/>
        <family val="1"/>
        <charset val="2"/>
      </rPr>
      <t>l</t>
    </r>
    <r>
      <rPr>
        <b/>
        <sz val="11"/>
        <color indexed="8"/>
        <rFont val="Calibri"/>
        <family val="2"/>
      </rPr>
      <t>) %]</t>
    </r>
  </si>
  <si>
    <t>2) Resultados da deriva dos filtros Sertin: aumentos de absorbância são indicativos de contaminação. O resultado líquido até 2021, no entanto, é de redução de absorbância, com uma tendência decrescente do menor para o maior comprimento de onda.</t>
  </si>
  <si>
    <t>Padrões de Absorbância - Filtros de Densidade Neutra Starna - Estudo da Deriva Temporal dos Padrões</t>
  </si>
  <si>
    <t>1) As publicações SP 260-116 e SP 260-140 do NIST, estudos completos sobre os padrões de densidade neutra, indicam que uma deriva inicial natural acontece pela formação de filme de óxido de silício nas superfícies do padrão, que funciona como uma camada anti-reflexo, produzindo aumento da transmitância ou, equivalentemente, diminuição da absorbância. Este processo é bastante lento pode ocorrer ao longo de anos. Há um segundo processo que pode contribuir para a redução da transmitância (aumento da absorbância), que é a contaminação da superfície. Os dois processos são, portanto, competitivos, levando a resultados particulares dependendo do uso e proteção praticados. Por isso, recertificações anuais ou bianuais são recomendáveis. A dimensão da deriva em absorbância é da ordem de 3 partes em mil (0,003 A).</t>
  </si>
  <si>
    <t>Sobre a Deriva Temporal de Padrões de Densidade Neutra</t>
  </si>
  <si>
    <t>CONFERIR O VALOR MÉDIO DE 0,003 A NOS SP-260</t>
  </si>
  <si>
    <r>
      <rPr>
        <b/>
        <sz val="19"/>
        <color rgb="FF0000FF"/>
        <rFont val="Times New Roman"/>
        <family val="1"/>
      </rPr>
      <t>SERTIN</t>
    </r>
    <r>
      <rPr>
        <b/>
        <sz val="17"/>
        <color indexed="48"/>
        <rFont val="Times New Roman"/>
        <family val="1"/>
      </rPr>
      <t xml:space="preserve">- </t>
    </r>
    <r>
      <rPr>
        <b/>
        <u/>
        <sz val="12"/>
        <color indexed="8"/>
        <rFont val="Times New Roman"/>
        <family val="1"/>
      </rPr>
      <t>COM. E SERV. TÉCNICOS DE INSTRUMENTAÇÃO LTDA</t>
    </r>
    <r>
      <rPr>
        <sz val="12"/>
        <color indexed="8"/>
        <rFont val="Times New Roman"/>
        <family val="1"/>
      </rPr>
      <t xml:space="preserve">                                          </t>
    </r>
    <r>
      <rPr>
        <sz val="12"/>
        <color rgb="FF0000FF"/>
        <rFont val="Times New Roman"/>
        <family val="1"/>
      </rPr>
      <t xml:space="preserve"> </t>
    </r>
    <r>
      <rPr>
        <sz val="12"/>
        <color rgb="FF0000FF"/>
        <rFont val="Arial"/>
        <family val="2"/>
      </rPr>
      <t>Calibração - Qualificação - Vendas - Engenharia - Automação - Manutenção</t>
    </r>
  </si>
  <si>
    <t>Revisão</t>
  </si>
  <si>
    <t>CT-</t>
  </si>
  <si>
    <t>CLIENTE / Solicitante:</t>
  </si>
  <si>
    <t>Endereço:</t>
  </si>
  <si>
    <t>CEP:</t>
  </si>
  <si>
    <t>CLIENTE / Interessado:</t>
  </si>
  <si>
    <t>ORDEM DE SERVIÇO Nº:</t>
  </si>
  <si>
    <t>Recebido em:</t>
  </si>
  <si>
    <t>Emitido:</t>
  </si>
  <si>
    <t>DADOS TÉCNICOS DO ITEM</t>
  </si>
  <si>
    <t>Equipamento:</t>
  </si>
  <si>
    <t>Fabricante:</t>
  </si>
  <si>
    <t>N. de Série:</t>
  </si>
  <si>
    <t>Local:</t>
  </si>
  <si>
    <t>Departamento:</t>
  </si>
  <si>
    <t>Setor:</t>
  </si>
  <si>
    <t>Código:</t>
  </si>
  <si>
    <t>Laboratório:</t>
  </si>
  <si>
    <t>Certificado:</t>
  </si>
  <si>
    <t>CONDIÇÕES AMBIENTAIS</t>
  </si>
  <si>
    <t>Temperatura</t>
  </si>
  <si>
    <t>Umidade Relativa</t>
  </si>
  <si>
    <t>Fim</t>
  </si>
  <si>
    <t>RESULTADOS DA CALIBRAÇÃO</t>
  </si>
  <si>
    <t>Rua Padre João Álvares, 436   - CEP: 07056-000  -  Vila Renata  -  Guarulhos  -  SP  -  Brasil</t>
  </si>
  <si>
    <r>
      <t xml:space="preserve">PABX: 11-2452-5214 / 2485-5460  -  e-mail: sertin@sertin.com.br  - </t>
    </r>
    <r>
      <rPr>
        <u/>
        <sz val="9"/>
        <color theme="3" tint="0.39997558519241921"/>
        <rFont val="Arial"/>
        <family val="2"/>
      </rPr>
      <t>www.sertin.com.br</t>
    </r>
  </si>
  <si>
    <t>pág</t>
  </si>
  <si>
    <t>PROCEDIMENTO</t>
  </si>
  <si>
    <t>1. Os resultados deste Relatório referem-se exclusivamente ao item calibrado, nas condições especificadas e não são extensivos a outros.</t>
  </si>
  <si>
    <t xml:space="preserve">2. A reprodução deste Relatório deverá ser completa. A reprodução de partes requer autorização escrita do Laboratório.  </t>
  </si>
  <si>
    <t>Técnico Executante</t>
  </si>
  <si>
    <t>RESPONSÁVEL</t>
  </si>
  <si>
    <t>CERTIFICADO DE CALIBRAÇÃO</t>
  </si>
  <si>
    <t>CT</t>
  </si>
  <si>
    <t>CLIENTE / Interessado</t>
  </si>
  <si>
    <t>XX/2021</t>
  </si>
  <si>
    <t>Data de Emissão:</t>
  </si>
  <si>
    <t>Calibrado em:</t>
  </si>
  <si>
    <t>CIDADE:</t>
  </si>
  <si>
    <t>.</t>
  </si>
  <si>
    <t>Identificação Cliente</t>
  </si>
  <si>
    <t>Patrimônio:</t>
  </si>
  <si>
    <t>Filtro de comprimento de onda</t>
  </si>
  <si>
    <t>Filtro de absorbância</t>
  </si>
  <si>
    <t>Código LBC:</t>
  </si>
  <si>
    <t>Visomes (CAL 0127)</t>
  </si>
  <si>
    <t>Sertin (CAL 0316)</t>
  </si>
  <si>
    <t>Validade:</t>
  </si>
  <si>
    <t>LV04397-47490-20-R0</t>
  </si>
  <si>
    <t>LV04397-47489-20-R0</t>
  </si>
  <si>
    <t>Válido até:</t>
  </si>
  <si>
    <t xml:space="preserve"> ± 1,0 °C</t>
  </si>
  <si>
    <t>---</t>
  </si>
  <si>
    <t>%UR</t>
  </si>
  <si>
    <t>Tipo:</t>
  </si>
  <si>
    <t>Varredura</t>
  </si>
  <si>
    <t>Diodo array</t>
  </si>
  <si>
    <t>Duplo feixe</t>
  </si>
  <si>
    <t>Mono feixe</t>
  </si>
  <si>
    <t>Larguras de Banda Típicas</t>
  </si>
  <si>
    <t>Larguras de banda (nm):</t>
  </si>
  <si>
    <t>Tipos de Detecção</t>
  </si>
  <si>
    <t>Detecção:</t>
  </si>
  <si>
    <t>Tipo de Espectrofotômetro</t>
  </si>
  <si>
    <t>1; 2</t>
  </si>
  <si>
    <t>0,1; 0,25; 0,5; 1; 1,5; 2; 3; 4; 5</t>
  </si>
  <si>
    <t>Faixa Espectral:</t>
  </si>
  <si>
    <t>Faixa Espectral de (nm):</t>
  </si>
  <si>
    <t>Faixa Espectral até (nm):</t>
  </si>
  <si>
    <r>
      <t>Resolução (</t>
    </r>
    <r>
      <rPr>
        <b/>
        <sz val="9"/>
        <rFont val="Symbol"/>
        <family val="1"/>
        <charset val="2"/>
      </rPr>
      <t>l</t>
    </r>
    <r>
      <rPr>
        <b/>
        <sz val="9"/>
        <rFont val="Arial"/>
        <family val="2"/>
      </rPr>
      <t>):</t>
    </r>
  </si>
  <si>
    <t>Resolução (Abs):</t>
  </si>
  <si>
    <t xml:space="preserve">Comprimento de Onda Padrão [nm] </t>
  </si>
  <si>
    <t xml:space="preserve">Comprimento de Onda Instrumento [nm] </t>
  </si>
  <si>
    <t>Incerteza</t>
  </si>
  <si>
    <t>Fator de Abrangência</t>
  </si>
  <si>
    <r>
      <rPr>
        <b/>
        <sz val="8"/>
        <rFont val="Symbol"/>
        <family val="1"/>
        <charset val="2"/>
      </rPr>
      <t>l</t>
    </r>
    <r>
      <rPr>
        <b/>
        <sz val="8"/>
        <rFont val="Arial"/>
        <family val="2"/>
      </rPr>
      <t xml:space="preserve"> pico</t>
    </r>
  </si>
  <si>
    <t>Filtro de óxido de hólmio</t>
  </si>
  <si>
    <t>Incerteza do padrão (certificado)</t>
  </si>
  <si>
    <r>
      <rPr>
        <b/>
        <sz val="9"/>
        <color theme="1"/>
        <rFont val="Symbol"/>
        <family val="1"/>
        <charset val="2"/>
      </rPr>
      <t>l</t>
    </r>
    <r>
      <rPr>
        <b/>
        <vertAlign val="subscript"/>
        <sz val="9"/>
        <color theme="1"/>
        <rFont val="Calibri"/>
        <family val="2"/>
        <scheme val="minor"/>
      </rPr>
      <t>1</t>
    </r>
  </si>
  <si>
    <r>
      <rPr>
        <b/>
        <sz val="9"/>
        <color theme="1"/>
        <rFont val="Symbol"/>
        <family val="1"/>
        <charset val="2"/>
      </rPr>
      <t>l</t>
    </r>
    <r>
      <rPr>
        <b/>
        <vertAlign val="subscript"/>
        <sz val="9"/>
        <color theme="1"/>
        <rFont val="Calibri"/>
        <family val="2"/>
        <scheme val="minor"/>
      </rPr>
      <t>3</t>
    </r>
    <r>
      <rPr>
        <sz val="11"/>
        <color theme="1"/>
        <rFont val="Calibri"/>
        <family val="2"/>
        <scheme val="minor"/>
      </rPr>
      <t/>
    </r>
  </si>
  <si>
    <r>
      <rPr>
        <b/>
        <sz val="9"/>
        <color theme="1"/>
        <rFont val="Symbol"/>
        <family val="1"/>
        <charset val="2"/>
      </rPr>
      <t>l</t>
    </r>
    <r>
      <rPr>
        <b/>
        <vertAlign val="subscript"/>
        <sz val="9"/>
        <color theme="1"/>
        <rFont val="Calibri"/>
        <family val="2"/>
        <scheme val="minor"/>
      </rPr>
      <t>4</t>
    </r>
    <r>
      <rPr>
        <sz val="11"/>
        <color theme="1"/>
        <rFont val="Calibri"/>
        <family val="2"/>
        <scheme val="minor"/>
      </rPr>
      <t/>
    </r>
  </si>
  <si>
    <r>
      <rPr>
        <b/>
        <sz val="9"/>
        <color theme="1"/>
        <rFont val="Symbol"/>
        <family val="1"/>
        <charset val="2"/>
      </rPr>
      <t>l</t>
    </r>
    <r>
      <rPr>
        <b/>
        <vertAlign val="subscript"/>
        <sz val="9"/>
        <color theme="1"/>
        <rFont val="Calibri"/>
        <family val="2"/>
        <scheme val="minor"/>
      </rPr>
      <t>5</t>
    </r>
    <r>
      <rPr>
        <sz val="11"/>
        <color theme="1"/>
        <rFont val="Calibri"/>
        <family val="2"/>
        <scheme val="minor"/>
      </rPr>
      <t/>
    </r>
  </si>
  <si>
    <r>
      <rPr>
        <b/>
        <sz val="9"/>
        <color theme="1"/>
        <rFont val="Symbol"/>
        <family val="1"/>
        <charset val="2"/>
      </rPr>
      <t>l</t>
    </r>
    <r>
      <rPr>
        <b/>
        <vertAlign val="subscript"/>
        <sz val="9"/>
        <color theme="1"/>
        <rFont val="Calibri"/>
        <family val="2"/>
        <scheme val="minor"/>
      </rPr>
      <t>6</t>
    </r>
    <r>
      <rPr>
        <sz val="11"/>
        <color theme="1"/>
        <rFont val="Calibri"/>
        <family val="2"/>
        <scheme val="minor"/>
      </rPr>
      <t/>
    </r>
  </si>
  <si>
    <r>
      <rPr>
        <b/>
        <sz val="9"/>
        <color theme="1"/>
        <rFont val="Symbol"/>
        <family val="1"/>
        <charset val="2"/>
      </rPr>
      <t>l</t>
    </r>
    <r>
      <rPr>
        <b/>
        <vertAlign val="subscript"/>
        <sz val="9"/>
        <color theme="1"/>
        <rFont val="Calibri"/>
        <family val="2"/>
        <scheme val="minor"/>
      </rPr>
      <t>7</t>
    </r>
    <r>
      <rPr>
        <sz val="11"/>
        <color theme="1"/>
        <rFont val="Calibri"/>
        <family val="2"/>
        <scheme val="minor"/>
      </rPr>
      <t/>
    </r>
  </si>
  <si>
    <r>
      <rPr>
        <b/>
        <sz val="9"/>
        <color theme="1"/>
        <rFont val="Symbol"/>
        <family val="1"/>
        <charset val="2"/>
      </rPr>
      <t>l</t>
    </r>
    <r>
      <rPr>
        <b/>
        <vertAlign val="subscript"/>
        <sz val="9"/>
        <color theme="1"/>
        <rFont val="Calibri"/>
        <family val="2"/>
        <scheme val="minor"/>
      </rPr>
      <t>8</t>
    </r>
    <r>
      <rPr>
        <sz val="11"/>
        <color theme="1"/>
        <rFont val="Calibri"/>
        <family val="2"/>
        <scheme val="minor"/>
      </rPr>
      <t/>
    </r>
  </si>
  <si>
    <r>
      <rPr>
        <b/>
        <sz val="9"/>
        <color theme="1"/>
        <rFont val="Symbol"/>
        <family val="1"/>
        <charset val="2"/>
      </rPr>
      <t>l</t>
    </r>
    <r>
      <rPr>
        <b/>
        <vertAlign val="subscript"/>
        <sz val="9"/>
        <color theme="1"/>
        <rFont val="Calibri"/>
        <family val="2"/>
        <scheme val="minor"/>
      </rPr>
      <t>9</t>
    </r>
    <r>
      <rPr>
        <sz val="11"/>
        <color theme="1"/>
        <rFont val="Calibri"/>
        <family val="2"/>
        <scheme val="minor"/>
      </rPr>
      <t/>
    </r>
  </si>
  <si>
    <r>
      <rPr>
        <b/>
        <sz val="9"/>
        <color theme="1"/>
        <rFont val="Symbol"/>
        <family val="1"/>
        <charset val="2"/>
      </rPr>
      <t>l</t>
    </r>
    <r>
      <rPr>
        <b/>
        <vertAlign val="subscript"/>
        <sz val="9"/>
        <color theme="1"/>
        <rFont val="Calibri"/>
        <family val="2"/>
        <scheme val="minor"/>
      </rPr>
      <t>10</t>
    </r>
    <r>
      <rPr>
        <sz val="11"/>
        <color theme="1"/>
        <rFont val="Calibri"/>
        <family val="2"/>
        <scheme val="minor"/>
      </rPr>
      <t/>
    </r>
  </si>
  <si>
    <r>
      <rPr>
        <b/>
        <sz val="9"/>
        <color theme="1"/>
        <rFont val="Symbol"/>
        <family val="1"/>
        <charset val="2"/>
      </rPr>
      <t>l</t>
    </r>
    <r>
      <rPr>
        <b/>
        <vertAlign val="subscript"/>
        <sz val="9"/>
        <color theme="1"/>
        <rFont val="Calibri"/>
        <family val="2"/>
        <scheme val="minor"/>
      </rPr>
      <t>11</t>
    </r>
    <r>
      <rPr>
        <sz val="11"/>
        <color theme="1"/>
        <rFont val="Calibri"/>
        <family val="2"/>
        <scheme val="minor"/>
      </rPr>
      <t/>
    </r>
  </si>
  <si>
    <r>
      <rPr>
        <b/>
        <sz val="9"/>
        <color theme="1"/>
        <rFont val="Symbol"/>
        <family val="1"/>
        <charset val="2"/>
      </rPr>
      <t>l</t>
    </r>
    <r>
      <rPr>
        <b/>
        <vertAlign val="subscript"/>
        <sz val="9"/>
        <color theme="1"/>
        <rFont val="Calibri"/>
        <family val="2"/>
        <scheme val="minor"/>
      </rPr>
      <t>2</t>
    </r>
  </si>
  <si>
    <t>Componentes de Incerteza da Calibração de Comprimento de Onda</t>
  </si>
  <si>
    <r>
      <t>u</t>
    </r>
    <r>
      <rPr>
        <b/>
        <vertAlign val="subscript"/>
        <sz val="9"/>
        <color indexed="8"/>
        <rFont val="Calibri"/>
        <family val="2"/>
      </rPr>
      <t>i</t>
    </r>
    <r>
      <rPr>
        <b/>
        <sz val="9"/>
        <color indexed="8"/>
        <rFont val="Calibri"/>
        <family val="2"/>
      </rPr>
      <t xml:space="preserve"> (</t>
    </r>
    <r>
      <rPr>
        <b/>
        <sz val="9"/>
        <color indexed="8"/>
        <rFont val="Symbol"/>
        <family val="1"/>
        <charset val="2"/>
      </rPr>
      <t>l</t>
    </r>
    <r>
      <rPr>
        <b/>
        <vertAlign val="subscript"/>
        <sz val="9"/>
        <color indexed="8"/>
        <rFont val="Calibri"/>
        <family val="2"/>
      </rPr>
      <t>1</t>
    </r>
    <r>
      <rPr>
        <b/>
        <sz val="9"/>
        <color indexed="8"/>
        <rFont val="Calibri"/>
        <family val="2"/>
      </rPr>
      <t>)</t>
    </r>
  </si>
  <si>
    <r>
      <t>u</t>
    </r>
    <r>
      <rPr>
        <b/>
        <vertAlign val="subscript"/>
        <sz val="9"/>
        <color indexed="8"/>
        <rFont val="Calibri"/>
        <family val="2"/>
      </rPr>
      <t>i</t>
    </r>
    <r>
      <rPr>
        <b/>
        <sz val="9"/>
        <color indexed="8"/>
        <rFont val="Calibri"/>
        <family val="2"/>
      </rPr>
      <t xml:space="preserve"> (</t>
    </r>
    <r>
      <rPr>
        <b/>
        <sz val="9"/>
        <color indexed="8"/>
        <rFont val="Symbol"/>
        <family val="1"/>
        <charset val="2"/>
      </rPr>
      <t>l</t>
    </r>
    <r>
      <rPr>
        <b/>
        <vertAlign val="subscript"/>
        <sz val="9"/>
        <color indexed="8"/>
        <rFont val="Calibri"/>
        <family val="2"/>
      </rPr>
      <t>2</t>
    </r>
    <r>
      <rPr>
        <b/>
        <sz val="9"/>
        <color indexed="8"/>
        <rFont val="Calibri"/>
        <family val="2"/>
      </rPr>
      <t>)</t>
    </r>
  </si>
  <si>
    <r>
      <t>u</t>
    </r>
    <r>
      <rPr>
        <b/>
        <vertAlign val="subscript"/>
        <sz val="9"/>
        <color indexed="8"/>
        <rFont val="Calibri"/>
        <family val="2"/>
      </rPr>
      <t>i</t>
    </r>
    <r>
      <rPr>
        <b/>
        <sz val="9"/>
        <color indexed="8"/>
        <rFont val="Calibri"/>
        <family val="2"/>
      </rPr>
      <t xml:space="preserve"> (</t>
    </r>
    <r>
      <rPr>
        <b/>
        <sz val="9"/>
        <color indexed="8"/>
        <rFont val="Symbol"/>
        <family val="1"/>
        <charset val="2"/>
      </rPr>
      <t>l</t>
    </r>
    <r>
      <rPr>
        <b/>
        <vertAlign val="subscript"/>
        <sz val="9"/>
        <color indexed="8"/>
        <rFont val="Calibri"/>
        <family val="2"/>
      </rPr>
      <t>3</t>
    </r>
    <r>
      <rPr>
        <b/>
        <sz val="9"/>
        <color indexed="8"/>
        <rFont val="Calibri"/>
        <family val="2"/>
      </rPr>
      <t>)</t>
    </r>
  </si>
  <si>
    <r>
      <t>u</t>
    </r>
    <r>
      <rPr>
        <b/>
        <vertAlign val="subscript"/>
        <sz val="9"/>
        <color indexed="8"/>
        <rFont val="Calibri"/>
        <family val="2"/>
      </rPr>
      <t>i</t>
    </r>
    <r>
      <rPr>
        <b/>
        <sz val="9"/>
        <color indexed="8"/>
        <rFont val="Calibri"/>
        <family val="2"/>
      </rPr>
      <t xml:space="preserve"> (</t>
    </r>
    <r>
      <rPr>
        <b/>
        <sz val="9"/>
        <color indexed="8"/>
        <rFont val="Symbol"/>
        <family val="1"/>
        <charset val="2"/>
      </rPr>
      <t>l</t>
    </r>
    <r>
      <rPr>
        <b/>
        <vertAlign val="subscript"/>
        <sz val="9"/>
        <color indexed="8"/>
        <rFont val="Calibri"/>
        <family val="2"/>
      </rPr>
      <t>4</t>
    </r>
    <r>
      <rPr>
        <b/>
        <sz val="9"/>
        <color indexed="8"/>
        <rFont val="Calibri"/>
        <family val="2"/>
      </rPr>
      <t>)</t>
    </r>
  </si>
  <si>
    <r>
      <t>u</t>
    </r>
    <r>
      <rPr>
        <b/>
        <vertAlign val="subscript"/>
        <sz val="9"/>
        <color indexed="8"/>
        <rFont val="Calibri"/>
        <family val="2"/>
      </rPr>
      <t>i</t>
    </r>
    <r>
      <rPr>
        <b/>
        <sz val="9"/>
        <color indexed="8"/>
        <rFont val="Calibri"/>
        <family val="2"/>
      </rPr>
      <t xml:space="preserve"> (</t>
    </r>
    <r>
      <rPr>
        <b/>
        <sz val="9"/>
        <color indexed="8"/>
        <rFont val="Symbol"/>
        <family val="1"/>
        <charset val="2"/>
      </rPr>
      <t>l</t>
    </r>
    <r>
      <rPr>
        <b/>
        <vertAlign val="subscript"/>
        <sz val="9"/>
        <color indexed="8"/>
        <rFont val="Calibri"/>
        <family val="2"/>
      </rPr>
      <t>5</t>
    </r>
    <r>
      <rPr>
        <b/>
        <sz val="9"/>
        <color indexed="8"/>
        <rFont val="Calibri"/>
        <family val="2"/>
      </rPr>
      <t>)</t>
    </r>
  </si>
  <si>
    <r>
      <t>u</t>
    </r>
    <r>
      <rPr>
        <b/>
        <vertAlign val="subscript"/>
        <sz val="9"/>
        <color indexed="8"/>
        <rFont val="Calibri"/>
        <family val="2"/>
      </rPr>
      <t>i</t>
    </r>
    <r>
      <rPr>
        <b/>
        <sz val="9"/>
        <color indexed="8"/>
        <rFont val="Calibri"/>
        <family val="2"/>
      </rPr>
      <t xml:space="preserve"> (</t>
    </r>
    <r>
      <rPr>
        <b/>
        <sz val="9"/>
        <color indexed="8"/>
        <rFont val="Symbol"/>
        <family val="1"/>
        <charset val="2"/>
      </rPr>
      <t>l</t>
    </r>
    <r>
      <rPr>
        <b/>
        <vertAlign val="subscript"/>
        <sz val="9"/>
        <color indexed="8"/>
        <rFont val="Calibri"/>
        <family val="2"/>
      </rPr>
      <t>6</t>
    </r>
    <r>
      <rPr>
        <b/>
        <sz val="9"/>
        <color indexed="8"/>
        <rFont val="Calibri"/>
        <family val="2"/>
      </rPr>
      <t>)</t>
    </r>
  </si>
  <si>
    <r>
      <t>u</t>
    </r>
    <r>
      <rPr>
        <b/>
        <vertAlign val="subscript"/>
        <sz val="9"/>
        <color indexed="8"/>
        <rFont val="Calibri"/>
        <family val="2"/>
      </rPr>
      <t>i</t>
    </r>
    <r>
      <rPr>
        <b/>
        <sz val="9"/>
        <color indexed="8"/>
        <rFont val="Calibri"/>
        <family val="2"/>
      </rPr>
      <t xml:space="preserve"> (</t>
    </r>
    <r>
      <rPr>
        <b/>
        <sz val="9"/>
        <color indexed="8"/>
        <rFont val="Symbol"/>
        <family val="1"/>
        <charset val="2"/>
      </rPr>
      <t>l</t>
    </r>
    <r>
      <rPr>
        <b/>
        <vertAlign val="subscript"/>
        <sz val="9"/>
        <color indexed="8"/>
        <rFont val="Calibri"/>
        <family val="2"/>
      </rPr>
      <t>7</t>
    </r>
    <r>
      <rPr>
        <b/>
        <sz val="9"/>
        <color indexed="8"/>
        <rFont val="Calibri"/>
        <family val="2"/>
      </rPr>
      <t>)</t>
    </r>
  </si>
  <si>
    <r>
      <t>u</t>
    </r>
    <r>
      <rPr>
        <b/>
        <vertAlign val="subscript"/>
        <sz val="9"/>
        <color indexed="8"/>
        <rFont val="Calibri"/>
        <family val="2"/>
      </rPr>
      <t>i</t>
    </r>
    <r>
      <rPr>
        <b/>
        <sz val="9"/>
        <color indexed="8"/>
        <rFont val="Calibri"/>
        <family val="2"/>
      </rPr>
      <t xml:space="preserve"> (</t>
    </r>
    <r>
      <rPr>
        <b/>
        <sz val="9"/>
        <color indexed="8"/>
        <rFont val="Symbol"/>
        <family val="1"/>
        <charset val="2"/>
      </rPr>
      <t>l</t>
    </r>
    <r>
      <rPr>
        <b/>
        <vertAlign val="subscript"/>
        <sz val="9"/>
        <color indexed="8"/>
        <rFont val="Calibri"/>
        <family val="2"/>
      </rPr>
      <t>8</t>
    </r>
    <r>
      <rPr>
        <b/>
        <sz val="9"/>
        <color indexed="8"/>
        <rFont val="Calibri"/>
        <family val="2"/>
      </rPr>
      <t>)</t>
    </r>
  </si>
  <si>
    <r>
      <t>u</t>
    </r>
    <r>
      <rPr>
        <b/>
        <vertAlign val="subscript"/>
        <sz val="9"/>
        <color indexed="8"/>
        <rFont val="Calibri"/>
        <family val="2"/>
      </rPr>
      <t>i</t>
    </r>
    <r>
      <rPr>
        <b/>
        <sz val="9"/>
        <color indexed="8"/>
        <rFont val="Calibri"/>
        <family val="2"/>
      </rPr>
      <t xml:space="preserve"> (</t>
    </r>
    <r>
      <rPr>
        <b/>
        <sz val="9"/>
        <color indexed="8"/>
        <rFont val="Symbol"/>
        <family val="1"/>
        <charset val="2"/>
      </rPr>
      <t>l</t>
    </r>
    <r>
      <rPr>
        <b/>
        <vertAlign val="subscript"/>
        <sz val="9"/>
        <color indexed="8"/>
        <rFont val="Calibri"/>
        <family val="2"/>
      </rPr>
      <t>9</t>
    </r>
    <r>
      <rPr>
        <b/>
        <sz val="9"/>
        <color indexed="8"/>
        <rFont val="Calibri"/>
        <family val="2"/>
      </rPr>
      <t>)</t>
    </r>
  </si>
  <si>
    <r>
      <t>u</t>
    </r>
    <r>
      <rPr>
        <b/>
        <vertAlign val="subscript"/>
        <sz val="9"/>
        <color indexed="8"/>
        <rFont val="Calibri"/>
        <family val="2"/>
      </rPr>
      <t>i</t>
    </r>
    <r>
      <rPr>
        <b/>
        <sz val="9"/>
        <color indexed="8"/>
        <rFont val="Calibri"/>
        <family val="2"/>
      </rPr>
      <t xml:space="preserve"> (</t>
    </r>
    <r>
      <rPr>
        <b/>
        <sz val="9"/>
        <color indexed="8"/>
        <rFont val="Symbol"/>
        <family val="1"/>
        <charset val="2"/>
      </rPr>
      <t>l</t>
    </r>
    <r>
      <rPr>
        <b/>
        <vertAlign val="subscript"/>
        <sz val="9"/>
        <color indexed="8"/>
        <rFont val="Calibri"/>
        <family val="2"/>
      </rPr>
      <t>10</t>
    </r>
    <r>
      <rPr>
        <b/>
        <sz val="9"/>
        <color indexed="8"/>
        <rFont val="Calibri"/>
        <family val="2"/>
      </rPr>
      <t>)</t>
    </r>
  </si>
  <si>
    <r>
      <t>u</t>
    </r>
    <r>
      <rPr>
        <b/>
        <vertAlign val="subscript"/>
        <sz val="9"/>
        <color indexed="8"/>
        <rFont val="Calibri"/>
        <family val="2"/>
      </rPr>
      <t>i</t>
    </r>
    <r>
      <rPr>
        <b/>
        <sz val="9"/>
        <color indexed="8"/>
        <rFont val="Calibri"/>
        <family val="2"/>
      </rPr>
      <t xml:space="preserve"> (</t>
    </r>
    <r>
      <rPr>
        <b/>
        <sz val="9"/>
        <color indexed="8"/>
        <rFont val="Symbol"/>
        <family val="1"/>
        <charset val="2"/>
      </rPr>
      <t>l</t>
    </r>
    <r>
      <rPr>
        <b/>
        <vertAlign val="subscript"/>
        <sz val="9"/>
        <color indexed="8"/>
        <rFont val="Calibri"/>
        <family val="2"/>
      </rPr>
      <t>11</t>
    </r>
    <r>
      <rPr>
        <b/>
        <sz val="9"/>
        <color indexed="8"/>
        <rFont val="Calibri"/>
        <family val="2"/>
      </rPr>
      <t>)</t>
    </r>
  </si>
  <si>
    <t>Determinação de mínimo por interpolação</t>
  </si>
  <si>
    <t>k</t>
  </si>
  <si>
    <t>Escala de Comprimentos de Onda nas Faixas Espectrais Ultravioleta e Visível</t>
  </si>
  <si>
    <t>Escala Fotométrica na Faixa Visível</t>
  </si>
  <si>
    <t>Graus de Liberdade Efetivos</t>
  </si>
  <si>
    <r>
      <t>u</t>
    </r>
    <r>
      <rPr>
        <i/>
        <vertAlign val="subscript"/>
        <sz val="9"/>
        <rFont val="Arial"/>
        <family val="2"/>
      </rPr>
      <t>MI</t>
    </r>
  </si>
  <si>
    <r>
      <t>u</t>
    </r>
    <r>
      <rPr>
        <i/>
        <vertAlign val="subscript"/>
        <sz val="9"/>
        <rFont val="Arial"/>
        <family val="2"/>
      </rPr>
      <t>RI</t>
    </r>
  </si>
  <si>
    <r>
      <t>u</t>
    </r>
    <r>
      <rPr>
        <i/>
        <vertAlign val="subscript"/>
        <sz val="9"/>
        <rFont val="Arial"/>
        <family val="2"/>
      </rPr>
      <t>RL</t>
    </r>
  </si>
  <si>
    <t>Larguras de Banda Calibradas</t>
  </si>
  <si>
    <t xml:space="preserve">Nota: </t>
  </si>
  <si>
    <t xml:space="preserve">Data da Calibração: </t>
  </si>
  <si>
    <t>Deriva por Períodos de Calibração</t>
  </si>
  <si>
    <t>Starna - 2014</t>
  </si>
  <si>
    <t>IPT - 2019</t>
  </si>
  <si>
    <t>44599-1N 44602-3N 39343-5D</t>
  </si>
  <si>
    <t>Deriva Média Mensal para o Período</t>
  </si>
  <si>
    <t>Larguras de Banda Calibradas - A</t>
  </si>
  <si>
    <t>Absorbância Nominal (A):</t>
  </si>
  <si>
    <t>Absorbâncias Nominais</t>
  </si>
  <si>
    <t>A estimativa de deriva do padrão foi feita utilizando o maior período (2014 - 2021) para os dados na largura de banda de 1 nm; mas será adotado para a deriva na largura de banda de 5 nm. Admite-se que a deriva do material é intrínseca ao material e praticamente não depende da largura de banda em que foi estimada.</t>
  </si>
  <si>
    <t>3.</t>
  </si>
  <si>
    <r>
      <t>Repensar o cálculo de arredondamento, parametrizando de alguma forma a escolha do dígito (2) da fórmula, por exemplo: ARREDONDAR.PARA.BAIXO(T81;</t>
    </r>
    <r>
      <rPr>
        <sz val="11"/>
        <color rgb="FFFF0000"/>
        <rFont val="Calibri"/>
        <family val="2"/>
        <scheme val="minor"/>
      </rPr>
      <t>2</t>
    </r>
    <r>
      <rPr>
        <sz val="11"/>
        <color theme="1"/>
        <rFont val="Calibri"/>
        <family val="2"/>
        <scheme val="minor"/>
      </rPr>
      <t>)</t>
    </r>
  </si>
  <si>
    <t>Absorbância Nominal (A)</t>
  </si>
  <si>
    <t>Largura de banda (igual ou maior próxima)</t>
  </si>
  <si>
    <t>∞</t>
  </si>
  <si>
    <t xml:space="preserve">O item foi calibrado por comparação a intrumentos rastreados à Rede Brasileira de Calibração.                                </t>
  </si>
  <si>
    <t>Para a calibração foram utilizados materiais de referência calibrados para comprimento de onda e para absorbância, respectivamente: padrão de óxido de hólmio em vidro e conjunto de três filtros de densidade neutra, com diferentes níveis de absorbância.</t>
  </si>
  <si>
    <t>Para a calibração da escala de comprimentos de onda foram realizadas varreduras extensas em torno dos comprimentos de onda dos picos típicos do padrão.</t>
  </si>
  <si>
    <t>Para a calibração da escala fotométrica, na faixa visível do espectro, foram realizadas, no mínimo, três medições de absorbância.</t>
  </si>
  <si>
    <t>1/2</t>
  </si>
  <si>
    <t>2/2</t>
  </si>
  <si>
    <t>OBSERVAÇÕES GERAIS</t>
  </si>
  <si>
    <t>DM-88-R0</t>
  </si>
  <si>
    <t>Durante as calibrações as temperaturas ambiente e do compartimento de amostras do instrumento foram monitoradas para assegurar a validade metrológica dos padrões.</t>
  </si>
  <si>
    <t xml:space="preserve">Absorbância Padrão [A] </t>
  </si>
  <si>
    <t xml:space="preserve">Absorbância Instrumento [A] </t>
  </si>
  <si>
    <t>[A]</t>
  </si>
  <si>
    <t xml:space="preserve"> ± 5 %UR</t>
  </si>
  <si>
    <t>2021-XXXXX GU</t>
  </si>
  <si>
    <t>Exatidão:</t>
  </si>
  <si>
    <t>Pico 11</t>
  </si>
  <si>
    <t>Pico 10</t>
  </si>
  <si>
    <t>Pico 9</t>
  </si>
  <si>
    <t>Pico 8</t>
  </si>
  <si>
    <t>Pico 7A</t>
  </si>
  <si>
    <t>Pico 7</t>
  </si>
  <si>
    <t>Pico 6</t>
  </si>
  <si>
    <t>Pico 5</t>
  </si>
  <si>
    <t>Pico 4</t>
  </si>
  <si>
    <t>&gt;</t>
  </si>
  <si>
    <t>&lt;</t>
  </si>
  <si>
    <t>Pico 3</t>
  </si>
  <si>
    <t>Pico 2</t>
  </si>
  <si>
    <t>Pico 1</t>
  </si>
  <si>
    <t>i</t>
  </si>
  <si>
    <t>f</t>
  </si>
  <si>
    <t>0.522</t>
  </si>
  <si>
    <t xml:space="preserve">Certificado </t>
  </si>
  <si>
    <t>LV00017-35431-20</t>
  </si>
  <si>
    <t>Laboratório de Óptica</t>
  </si>
  <si>
    <t>Marcelo Freire</t>
  </si>
  <si>
    <t>horario : 14:00 a 16:00</t>
  </si>
  <si>
    <r>
      <t>A</t>
    </r>
    <r>
      <rPr>
        <b/>
        <vertAlign val="subscript"/>
        <sz val="11"/>
        <color theme="1"/>
        <rFont val="Calibri"/>
        <family val="2"/>
        <scheme val="minor"/>
      </rPr>
      <t>0</t>
    </r>
  </si>
  <si>
    <r>
      <t>A</t>
    </r>
    <r>
      <rPr>
        <b/>
        <vertAlign val="subscript"/>
        <sz val="11"/>
        <color theme="1"/>
        <rFont val="Calibri"/>
        <family val="2"/>
        <scheme val="minor"/>
      </rPr>
      <t>1</t>
    </r>
    <r>
      <rPr>
        <sz val="11"/>
        <color theme="1"/>
        <rFont val="Calibri"/>
        <family val="2"/>
        <scheme val="minor"/>
      </rPr>
      <t/>
    </r>
  </si>
  <si>
    <r>
      <t>A</t>
    </r>
    <r>
      <rPr>
        <b/>
        <vertAlign val="subscript"/>
        <sz val="11"/>
        <color theme="1"/>
        <rFont val="Calibri"/>
        <family val="2"/>
        <scheme val="minor"/>
      </rPr>
      <t>2</t>
    </r>
    <r>
      <rPr>
        <sz val="11"/>
        <color theme="1"/>
        <rFont val="Calibri"/>
        <family val="2"/>
        <scheme val="minor"/>
      </rPr>
      <t/>
    </r>
  </si>
  <si>
    <r>
      <t>A</t>
    </r>
    <r>
      <rPr>
        <b/>
        <vertAlign val="subscript"/>
        <sz val="11"/>
        <color theme="1"/>
        <rFont val="Calibri"/>
        <family val="2"/>
        <scheme val="minor"/>
      </rPr>
      <t>3</t>
    </r>
    <r>
      <rPr>
        <sz val="11"/>
        <color theme="1"/>
        <rFont val="Calibri"/>
        <family val="2"/>
        <scheme val="minor"/>
      </rPr>
      <t/>
    </r>
  </si>
  <si>
    <r>
      <t>A</t>
    </r>
    <r>
      <rPr>
        <b/>
        <vertAlign val="subscript"/>
        <sz val="11"/>
        <color theme="1"/>
        <rFont val="Calibri"/>
        <family val="2"/>
        <scheme val="minor"/>
      </rPr>
      <t>4</t>
    </r>
    <r>
      <rPr>
        <sz val="11"/>
        <color theme="1"/>
        <rFont val="Calibri"/>
        <family val="2"/>
        <scheme val="minor"/>
      </rPr>
      <t/>
    </r>
  </si>
  <si>
    <r>
      <t>A</t>
    </r>
    <r>
      <rPr>
        <b/>
        <vertAlign val="subscript"/>
        <sz val="11"/>
        <color theme="1"/>
        <rFont val="Calibri"/>
        <family val="2"/>
        <scheme val="minor"/>
      </rPr>
      <t>5</t>
    </r>
    <r>
      <rPr>
        <sz val="11"/>
        <color theme="1"/>
        <rFont val="Calibri"/>
        <family val="2"/>
        <scheme val="minor"/>
      </rPr>
      <t/>
    </r>
  </si>
  <si>
    <r>
      <t>A</t>
    </r>
    <r>
      <rPr>
        <b/>
        <vertAlign val="subscript"/>
        <sz val="11"/>
        <color theme="1"/>
        <rFont val="Calibri"/>
        <family val="2"/>
        <scheme val="minor"/>
      </rPr>
      <t>6</t>
    </r>
    <r>
      <rPr>
        <sz val="11"/>
        <color theme="1"/>
        <rFont val="Calibri"/>
        <family val="2"/>
        <scheme val="minor"/>
      </rPr>
      <t/>
    </r>
  </si>
  <si>
    <t>O método de Newton-Raphson quando convergente, converge quadraticamente. No entanto, é eficiente quando o ponto inicial não pode ser muito próximo de f( ) = 0</t>
  </si>
  <si>
    <r>
      <t>A'(</t>
    </r>
    <r>
      <rPr>
        <b/>
        <sz val="10"/>
        <rFont val="Symbol"/>
        <family val="1"/>
        <charset val="2"/>
      </rPr>
      <t>l</t>
    </r>
    <r>
      <rPr>
        <b/>
        <sz val="10"/>
        <rFont val="Arial"/>
        <family val="2"/>
      </rPr>
      <t>)</t>
    </r>
  </si>
  <si>
    <r>
      <t>A''(</t>
    </r>
    <r>
      <rPr>
        <b/>
        <sz val="10"/>
        <rFont val="Symbol"/>
        <family val="1"/>
        <charset val="2"/>
      </rPr>
      <t>l</t>
    </r>
    <r>
      <rPr>
        <b/>
        <sz val="10"/>
        <rFont val="Arial"/>
        <family val="2"/>
      </rPr>
      <t>)</t>
    </r>
  </si>
  <si>
    <r>
      <t xml:space="preserve">l </t>
    </r>
    <r>
      <rPr>
        <b/>
        <vertAlign val="subscript"/>
        <sz val="11"/>
        <color theme="1"/>
        <rFont val="Arial"/>
        <family val="2"/>
      </rPr>
      <t>i</t>
    </r>
  </si>
  <si>
    <r>
      <t xml:space="preserve">l </t>
    </r>
    <r>
      <rPr>
        <b/>
        <vertAlign val="subscript"/>
        <sz val="10"/>
        <color theme="1"/>
        <rFont val="Arial"/>
        <family val="2"/>
      </rPr>
      <t>i+1</t>
    </r>
  </si>
  <si>
    <r>
      <t>A'(</t>
    </r>
    <r>
      <rPr>
        <b/>
        <sz val="9"/>
        <rFont val="Symbol"/>
        <family val="1"/>
        <charset val="2"/>
      </rPr>
      <t>l</t>
    </r>
    <r>
      <rPr>
        <b/>
        <sz val="9"/>
        <rFont val="Arial"/>
        <family val="2"/>
      </rPr>
      <t xml:space="preserve">) </t>
    </r>
    <r>
      <rPr>
        <b/>
        <sz val="8"/>
        <rFont val="Arial"/>
        <family val="2"/>
      </rPr>
      <t>Solver</t>
    </r>
  </si>
  <si>
    <t>Máximo com Solver do EXCEL: Dados, Solver, Objetivo (célula a zerar), Valor de (0), Alterando células (célula de comprimento de onda); restrições: faixa de comprimento de onda (2 restrições - uma maior que e outra menor que); método (GRG não linear).</t>
  </si>
  <si>
    <t>Iteração</t>
  </si>
  <si>
    <r>
      <t>Determinação de Raízes de A'(</t>
    </r>
    <r>
      <rPr>
        <b/>
        <sz val="10"/>
        <rFont val="Symbol"/>
        <family val="1"/>
        <charset val="2"/>
      </rPr>
      <t>l</t>
    </r>
    <r>
      <rPr>
        <b/>
        <sz val="10"/>
        <rFont val="Arial"/>
        <family val="2"/>
      </rPr>
      <t>) por Newton-Raphson &amp; Solver</t>
    </r>
  </si>
  <si>
    <r>
      <t>A(</t>
    </r>
    <r>
      <rPr>
        <b/>
        <sz val="10"/>
        <rFont val="Symbol"/>
        <family val="1"/>
        <charset val="2"/>
      </rPr>
      <t>l</t>
    </r>
    <r>
      <rPr>
        <b/>
        <sz val="10"/>
        <rFont val="Arial"/>
        <family val="2"/>
      </rPr>
      <t>)</t>
    </r>
  </si>
  <si>
    <t>-</t>
  </si>
  <si>
    <t>Foi tentado a iteração com escala em micrometros mas os coeficientes ficam com valores muito maiores (10^12) e o chiquadrado não é melhor.</t>
  </si>
  <si>
    <t>LB</t>
  </si>
  <si>
    <r>
      <rPr>
        <b/>
        <sz val="11"/>
        <rFont val="Symbol"/>
        <family val="1"/>
        <charset val="2"/>
      </rPr>
      <t>D</t>
    </r>
    <r>
      <rPr>
        <b/>
        <sz val="10"/>
        <rFont val="Arial"/>
        <family val="2"/>
      </rPr>
      <t>A</t>
    </r>
  </si>
  <si>
    <r>
      <rPr>
        <b/>
        <sz val="10"/>
        <rFont val="Symbol"/>
        <family val="1"/>
        <charset val="2"/>
      </rPr>
      <t>l</t>
    </r>
    <r>
      <rPr>
        <b/>
        <sz val="10"/>
        <rFont val="Arial"/>
        <family val="2"/>
      </rPr>
      <t xml:space="preserve"> min</t>
    </r>
  </si>
  <si>
    <r>
      <rPr>
        <b/>
        <sz val="10"/>
        <rFont val="Symbol"/>
        <family val="1"/>
        <charset val="2"/>
      </rPr>
      <t>l</t>
    </r>
    <r>
      <rPr>
        <b/>
        <sz val="10"/>
        <rFont val="Arial"/>
        <family val="2"/>
      </rPr>
      <t xml:space="preserve"> máx</t>
    </r>
  </si>
  <si>
    <t>Processo de Tratamento  de Dados - Descrição das Etapas</t>
  </si>
  <si>
    <t>Inicie copiando a aba de Registro Original em uma aba nomeada Registro Tratado</t>
  </si>
  <si>
    <t>Selecione cada gráfico, clique tecla direita do mouse e escolha Selecionar dados.  Para Pico CAL 1 e Pico CAL 2 limite a faixa para quatro pontos antes e após o ponto mínimo, portanto, 9 pontos no máximo</t>
  </si>
  <si>
    <t>Nos gráficos com faixa limitada observe se é necessário limitar ainda mais a faixa para restringir-se somente à curva do pico de interesse. Faça isso eliminando os pontos extremos da faixa (maior e menor)</t>
  </si>
  <si>
    <r>
      <t>Clique nas linhas dos gráficos e adicione linhas de tendência para as duas curvas do gráfico. Utilize polinômio de grau 6 e exiba a função polinomial e o resultado de R</t>
    </r>
    <r>
      <rPr>
        <vertAlign val="superscript"/>
        <sz val="9"/>
        <color theme="1"/>
        <rFont val="Calibri"/>
        <family val="2"/>
        <scheme val="minor"/>
      </rPr>
      <t>2</t>
    </r>
    <r>
      <rPr>
        <sz val="9"/>
        <color theme="1"/>
        <rFont val="Calibri"/>
        <family val="2"/>
        <scheme val="minor"/>
      </rPr>
      <t>.</t>
    </r>
  </si>
  <si>
    <t>No gráfico observe se a linha de tendência está bem sobreposta à linha colorida do gráfico</t>
  </si>
  <si>
    <r>
      <t>Clique no quadro da função interpolada, clique tecla direita do mouse e selecione Formatar rótulo de linha de tendência e adote numeração em notação científica até que os todos os coeficientes exibam dígito final 00. Reduza um dígito para manter apenas um zero. Observe se o R</t>
    </r>
    <r>
      <rPr>
        <vertAlign val="superscript"/>
        <sz val="9"/>
        <color theme="1"/>
        <rFont val="Calibri"/>
        <family val="2"/>
        <scheme val="minor"/>
      </rPr>
      <t>2</t>
    </r>
    <r>
      <rPr>
        <sz val="9"/>
        <color theme="1"/>
        <rFont val="Calibri"/>
        <family val="2"/>
        <scheme val="minor"/>
      </rPr>
      <t xml:space="preserve"> está bem próximo de 1.</t>
    </r>
  </si>
  <si>
    <t>Clique no quadro da função interpolada, selecione cada coeficiente do polinômio e o cole na tabela de Newton Raphson. Muito cuidado para não esquecer os sinais negativos</t>
  </si>
  <si>
    <r>
      <t>Visomes N</t>
    </r>
    <r>
      <rPr>
        <b/>
        <vertAlign val="superscript"/>
        <sz val="10"/>
        <color theme="1"/>
        <rFont val="Calibri"/>
        <family val="2"/>
        <scheme val="minor"/>
      </rPr>
      <t>o</t>
    </r>
    <r>
      <rPr>
        <b/>
        <sz val="10"/>
        <color theme="1"/>
        <rFont val="Calibri"/>
        <family val="2"/>
        <scheme val="minor"/>
      </rPr>
      <t xml:space="preserve"> LV04397-47489-20-R1</t>
    </r>
  </si>
  <si>
    <r>
      <t xml:space="preserve">Incerteza de Referência </t>
    </r>
    <r>
      <rPr>
        <b/>
        <sz val="11"/>
        <rFont val="Calibri"/>
        <family val="2"/>
      </rPr>
      <t>[</t>
    </r>
    <r>
      <rPr>
        <b/>
        <sz val="11"/>
        <rFont val="Calibri"/>
        <family val="2"/>
      </rPr>
      <t>nm] , Fator de Abrangência e Graus de Liberdade</t>
    </r>
  </si>
  <si>
    <t>CALIBRAÇÃO - ESCALA DE COMPRIMENTO DE ONDA</t>
  </si>
  <si>
    <t>ESCALA DE COMPRIMENTO DE ONDA - RESULTADOS</t>
  </si>
  <si>
    <t>Pico</t>
  </si>
  <si>
    <r>
      <t xml:space="preserve">l </t>
    </r>
    <r>
      <rPr>
        <b/>
        <sz val="9"/>
        <color theme="1"/>
        <rFont val="Calibri"/>
        <family val="2"/>
        <scheme val="minor"/>
      </rPr>
      <t>Padrão</t>
    </r>
  </si>
  <si>
    <r>
      <t xml:space="preserve">l </t>
    </r>
    <r>
      <rPr>
        <b/>
        <sz val="9"/>
        <color theme="1"/>
        <rFont val="Calibri"/>
        <family val="2"/>
        <scheme val="minor"/>
      </rPr>
      <t>Instrum.</t>
    </r>
  </si>
  <si>
    <t>Fator K</t>
  </si>
  <si>
    <t>GLE</t>
  </si>
  <si>
    <r>
      <rPr>
        <b/>
        <sz val="11"/>
        <color theme="1"/>
        <rFont val="Symbol"/>
        <family val="1"/>
        <charset val="2"/>
      </rPr>
      <t>l</t>
    </r>
    <r>
      <rPr>
        <b/>
        <vertAlign val="subscript"/>
        <sz val="11"/>
        <color theme="1"/>
        <rFont val="Calibri"/>
        <family val="2"/>
        <scheme val="minor"/>
      </rPr>
      <t>1</t>
    </r>
  </si>
  <si>
    <r>
      <rPr>
        <b/>
        <sz val="11"/>
        <color theme="1"/>
        <rFont val="Symbol"/>
        <family val="1"/>
        <charset val="2"/>
      </rPr>
      <t>l</t>
    </r>
    <r>
      <rPr>
        <b/>
        <vertAlign val="subscript"/>
        <sz val="11"/>
        <color theme="1"/>
        <rFont val="Calibri"/>
        <family val="2"/>
        <scheme val="minor"/>
      </rPr>
      <t>2</t>
    </r>
    <r>
      <rPr>
        <sz val="11"/>
        <color theme="1"/>
        <rFont val="Calibri"/>
        <family val="2"/>
        <scheme val="minor"/>
      </rPr>
      <t/>
    </r>
  </si>
  <si>
    <r>
      <rPr>
        <b/>
        <sz val="11"/>
        <color theme="1"/>
        <rFont val="Symbol"/>
        <family val="1"/>
        <charset val="2"/>
      </rPr>
      <t>l</t>
    </r>
    <r>
      <rPr>
        <b/>
        <vertAlign val="subscript"/>
        <sz val="11"/>
        <color theme="1"/>
        <rFont val="Calibri"/>
        <family val="2"/>
        <scheme val="minor"/>
      </rPr>
      <t>3</t>
    </r>
    <r>
      <rPr>
        <sz val="11"/>
        <color theme="1"/>
        <rFont val="Calibri"/>
        <family val="2"/>
        <scheme val="minor"/>
      </rPr>
      <t/>
    </r>
  </si>
  <si>
    <r>
      <rPr>
        <b/>
        <sz val="11"/>
        <color theme="1"/>
        <rFont val="Symbol"/>
        <family val="1"/>
        <charset val="2"/>
      </rPr>
      <t>l</t>
    </r>
    <r>
      <rPr>
        <b/>
        <vertAlign val="subscript"/>
        <sz val="11"/>
        <color theme="1"/>
        <rFont val="Calibri"/>
        <family val="2"/>
        <scheme val="minor"/>
      </rPr>
      <t>4</t>
    </r>
    <r>
      <rPr>
        <sz val="11"/>
        <color theme="1"/>
        <rFont val="Calibri"/>
        <family val="2"/>
        <scheme val="minor"/>
      </rPr>
      <t/>
    </r>
  </si>
  <si>
    <r>
      <rPr>
        <b/>
        <sz val="11"/>
        <color theme="1"/>
        <rFont val="Symbol"/>
        <family val="1"/>
        <charset val="2"/>
      </rPr>
      <t>l</t>
    </r>
    <r>
      <rPr>
        <b/>
        <vertAlign val="subscript"/>
        <sz val="11"/>
        <color theme="1"/>
        <rFont val="Calibri"/>
        <family val="2"/>
        <scheme val="minor"/>
      </rPr>
      <t>5</t>
    </r>
    <r>
      <rPr>
        <sz val="11"/>
        <color theme="1"/>
        <rFont val="Calibri"/>
        <family val="2"/>
        <scheme val="minor"/>
      </rPr>
      <t/>
    </r>
  </si>
  <si>
    <r>
      <rPr>
        <b/>
        <sz val="11"/>
        <color theme="1"/>
        <rFont val="Symbol"/>
        <family val="1"/>
        <charset val="2"/>
      </rPr>
      <t>l</t>
    </r>
    <r>
      <rPr>
        <b/>
        <vertAlign val="subscript"/>
        <sz val="11"/>
        <color theme="1"/>
        <rFont val="Calibri"/>
        <family val="2"/>
        <scheme val="minor"/>
      </rPr>
      <t>6</t>
    </r>
    <r>
      <rPr>
        <sz val="11"/>
        <color theme="1"/>
        <rFont val="Calibri"/>
        <family val="2"/>
        <scheme val="minor"/>
      </rPr>
      <t/>
    </r>
  </si>
  <si>
    <r>
      <rPr>
        <b/>
        <sz val="11"/>
        <color theme="1"/>
        <rFont val="Symbol"/>
        <family val="1"/>
        <charset val="2"/>
      </rPr>
      <t>l</t>
    </r>
    <r>
      <rPr>
        <b/>
        <vertAlign val="subscript"/>
        <sz val="11"/>
        <color theme="1"/>
        <rFont val="Calibri"/>
        <family val="2"/>
        <scheme val="minor"/>
      </rPr>
      <t>7</t>
    </r>
    <r>
      <rPr>
        <sz val="11"/>
        <color theme="1"/>
        <rFont val="Calibri"/>
        <family val="2"/>
        <scheme val="minor"/>
      </rPr>
      <t/>
    </r>
  </si>
  <si>
    <r>
      <rPr>
        <b/>
        <sz val="11"/>
        <color theme="1"/>
        <rFont val="Symbol"/>
        <family val="1"/>
        <charset val="2"/>
      </rPr>
      <t>l</t>
    </r>
    <r>
      <rPr>
        <b/>
        <vertAlign val="subscript"/>
        <sz val="11"/>
        <color theme="1"/>
        <rFont val="Calibri"/>
        <family val="2"/>
        <scheme val="minor"/>
      </rPr>
      <t>8</t>
    </r>
    <r>
      <rPr>
        <sz val="11"/>
        <color theme="1"/>
        <rFont val="Calibri"/>
        <family val="2"/>
        <scheme val="minor"/>
      </rPr>
      <t/>
    </r>
  </si>
  <si>
    <r>
      <rPr>
        <b/>
        <sz val="11"/>
        <color theme="1"/>
        <rFont val="Symbol"/>
        <family val="1"/>
        <charset val="2"/>
      </rPr>
      <t>l</t>
    </r>
    <r>
      <rPr>
        <b/>
        <vertAlign val="subscript"/>
        <sz val="11"/>
        <color theme="1"/>
        <rFont val="Calibri"/>
        <family val="2"/>
        <scheme val="minor"/>
      </rPr>
      <t>9</t>
    </r>
    <r>
      <rPr>
        <sz val="11"/>
        <color theme="1"/>
        <rFont val="Calibri"/>
        <family val="2"/>
        <scheme val="minor"/>
      </rPr>
      <t/>
    </r>
  </si>
  <si>
    <r>
      <rPr>
        <b/>
        <sz val="11"/>
        <color theme="1"/>
        <rFont val="Symbol"/>
        <family val="1"/>
        <charset val="2"/>
      </rPr>
      <t>l</t>
    </r>
    <r>
      <rPr>
        <b/>
        <vertAlign val="subscript"/>
        <sz val="11"/>
        <color theme="1"/>
        <rFont val="Calibri"/>
        <family val="2"/>
        <scheme val="minor"/>
      </rPr>
      <t>10</t>
    </r>
    <r>
      <rPr>
        <sz val="11"/>
        <color theme="1"/>
        <rFont val="Calibri"/>
        <family val="2"/>
        <scheme val="minor"/>
      </rPr>
      <t/>
    </r>
  </si>
  <si>
    <r>
      <rPr>
        <b/>
        <sz val="11"/>
        <color theme="1"/>
        <rFont val="Symbol"/>
        <family val="1"/>
        <charset val="2"/>
      </rPr>
      <t>l</t>
    </r>
    <r>
      <rPr>
        <b/>
        <vertAlign val="subscript"/>
        <sz val="11"/>
        <color theme="1"/>
        <rFont val="Calibri"/>
        <family val="2"/>
        <scheme val="minor"/>
      </rPr>
      <t>11</t>
    </r>
    <r>
      <rPr>
        <sz val="11"/>
        <color theme="1"/>
        <rFont val="Calibri"/>
        <family val="2"/>
        <scheme val="minor"/>
      </rPr>
      <t/>
    </r>
  </si>
  <si>
    <t>Padrão de Óxido de Hólmio - Comprimento de Onda - Largura de Banda</t>
  </si>
  <si>
    <r>
      <rPr>
        <b/>
        <sz val="11"/>
        <rFont val="Symbol"/>
        <family val="1"/>
        <charset val="2"/>
      </rPr>
      <t>l</t>
    </r>
    <r>
      <rPr>
        <b/>
        <vertAlign val="subscript"/>
        <sz val="11"/>
        <rFont val="Calibri"/>
        <family val="2"/>
        <scheme val="minor"/>
      </rPr>
      <t>1</t>
    </r>
  </si>
  <si>
    <r>
      <rPr>
        <b/>
        <sz val="11"/>
        <rFont val="Symbol"/>
        <family val="1"/>
        <charset val="2"/>
      </rPr>
      <t>l</t>
    </r>
    <r>
      <rPr>
        <b/>
        <vertAlign val="subscript"/>
        <sz val="11"/>
        <rFont val="Calibri"/>
        <family val="2"/>
        <scheme val="minor"/>
      </rPr>
      <t>2</t>
    </r>
    <r>
      <rPr>
        <sz val="11"/>
        <color theme="1"/>
        <rFont val="Calibri"/>
        <family val="2"/>
        <scheme val="minor"/>
      </rPr>
      <t/>
    </r>
  </si>
  <si>
    <r>
      <rPr>
        <b/>
        <sz val="11"/>
        <rFont val="Symbol"/>
        <family val="1"/>
        <charset val="2"/>
      </rPr>
      <t>l</t>
    </r>
    <r>
      <rPr>
        <b/>
        <vertAlign val="subscript"/>
        <sz val="11"/>
        <rFont val="Calibri"/>
        <family val="2"/>
        <scheme val="minor"/>
      </rPr>
      <t>3</t>
    </r>
    <r>
      <rPr>
        <sz val="11"/>
        <color theme="1"/>
        <rFont val="Calibri"/>
        <family val="2"/>
        <scheme val="minor"/>
      </rPr>
      <t/>
    </r>
  </si>
  <si>
    <r>
      <rPr>
        <b/>
        <sz val="11"/>
        <rFont val="Symbol"/>
        <family val="1"/>
        <charset val="2"/>
      </rPr>
      <t>l</t>
    </r>
    <r>
      <rPr>
        <b/>
        <vertAlign val="subscript"/>
        <sz val="11"/>
        <rFont val="Calibri"/>
        <family val="2"/>
        <scheme val="minor"/>
      </rPr>
      <t>4</t>
    </r>
    <r>
      <rPr>
        <sz val="11"/>
        <color theme="1"/>
        <rFont val="Calibri"/>
        <family val="2"/>
        <scheme val="minor"/>
      </rPr>
      <t/>
    </r>
  </si>
  <si>
    <r>
      <rPr>
        <b/>
        <sz val="11"/>
        <rFont val="Symbol"/>
        <family val="1"/>
        <charset val="2"/>
      </rPr>
      <t>l</t>
    </r>
    <r>
      <rPr>
        <b/>
        <vertAlign val="subscript"/>
        <sz val="11"/>
        <rFont val="Calibri"/>
        <family val="2"/>
        <scheme val="minor"/>
      </rPr>
      <t>5</t>
    </r>
    <r>
      <rPr>
        <sz val="11"/>
        <color theme="1"/>
        <rFont val="Calibri"/>
        <family val="2"/>
        <scheme val="minor"/>
      </rPr>
      <t/>
    </r>
  </si>
  <si>
    <r>
      <rPr>
        <b/>
        <sz val="11"/>
        <rFont val="Symbol"/>
        <family val="1"/>
        <charset val="2"/>
      </rPr>
      <t>l</t>
    </r>
    <r>
      <rPr>
        <b/>
        <vertAlign val="subscript"/>
        <sz val="11"/>
        <rFont val="Calibri"/>
        <family val="2"/>
        <scheme val="minor"/>
      </rPr>
      <t>8</t>
    </r>
    <r>
      <rPr>
        <sz val="11"/>
        <color theme="1"/>
        <rFont val="Calibri"/>
        <family val="2"/>
        <scheme val="minor"/>
      </rPr>
      <t/>
    </r>
  </si>
  <si>
    <r>
      <rPr>
        <b/>
        <sz val="11"/>
        <rFont val="Symbol"/>
        <family val="1"/>
        <charset val="2"/>
      </rPr>
      <t>l</t>
    </r>
    <r>
      <rPr>
        <b/>
        <vertAlign val="subscript"/>
        <sz val="11"/>
        <rFont val="Calibri"/>
        <family val="2"/>
        <scheme val="minor"/>
      </rPr>
      <t>9</t>
    </r>
    <r>
      <rPr>
        <sz val="11"/>
        <color theme="1"/>
        <rFont val="Calibri"/>
        <family val="2"/>
        <scheme val="minor"/>
      </rPr>
      <t/>
    </r>
  </si>
  <si>
    <r>
      <rPr>
        <b/>
        <sz val="11"/>
        <rFont val="Symbol"/>
        <family val="1"/>
        <charset val="2"/>
      </rPr>
      <t>l</t>
    </r>
    <r>
      <rPr>
        <b/>
        <vertAlign val="subscript"/>
        <sz val="11"/>
        <rFont val="Calibri"/>
        <family val="2"/>
        <scheme val="minor"/>
      </rPr>
      <t>10</t>
    </r>
    <r>
      <rPr>
        <sz val="11"/>
        <color theme="1"/>
        <rFont val="Calibri"/>
        <family val="2"/>
        <scheme val="minor"/>
      </rPr>
      <t/>
    </r>
  </si>
  <si>
    <r>
      <rPr>
        <b/>
        <sz val="11"/>
        <rFont val="Symbol"/>
        <family val="1"/>
        <charset val="2"/>
      </rPr>
      <t>l</t>
    </r>
    <r>
      <rPr>
        <b/>
        <vertAlign val="subscript"/>
        <sz val="11"/>
        <rFont val="Calibri"/>
        <family val="2"/>
        <scheme val="minor"/>
      </rPr>
      <t>11</t>
    </r>
    <r>
      <rPr>
        <sz val="11"/>
        <color theme="1"/>
        <rFont val="Calibri"/>
        <family val="2"/>
        <scheme val="minor"/>
      </rPr>
      <t/>
    </r>
  </si>
  <si>
    <t>Pico 6 NIST</t>
  </si>
  <si>
    <r>
      <rPr>
        <b/>
        <sz val="11"/>
        <rFont val="Symbol"/>
        <family val="1"/>
        <charset val="2"/>
      </rPr>
      <t>l</t>
    </r>
    <r>
      <rPr>
        <b/>
        <vertAlign val="subscript"/>
        <sz val="11"/>
        <rFont val="Calibri"/>
        <family val="2"/>
        <scheme val="minor"/>
      </rPr>
      <t>6 NIST</t>
    </r>
  </si>
  <si>
    <r>
      <rPr>
        <b/>
        <sz val="11"/>
        <rFont val="Symbol"/>
        <family val="1"/>
        <charset val="2"/>
      </rPr>
      <t>l</t>
    </r>
    <r>
      <rPr>
        <b/>
        <vertAlign val="subscript"/>
        <sz val="11"/>
        <rFont val="Calibri"/>
        <family val="2"/>
        <scheme val="minor"/>
      </rPr>
      <t>6</t>
    </r>
  </si>
  <si>
    <r>
      <rPr>
        <b/>
        <sz val="11"/>
        <rFont val="Symbol"/>
        <family val="1"/>
        <charset val="2"/>
      </rPr>
      <t>l</t>
    </r>
    <r>
      <rPr>
        <b/>
        <vertAlign val="subscript"/>
        <sz val="11"/>
        <rFont val="Calibri"/>
        <family val="2"/>
        <scheme val="minor"/>
      </rPr>
      <t>7</t>
    </r>
  </si>
  <si>
    <t>Incerteza Loc</t>
  </si>
  <si>
    <t>Visomes - 2021 - Janeiro</t>
  </si>
  <si>
    <t>Visomes - 2021 - Agosto</t>
  </si>
  <si>
    <t>Período</t>
  </si>
  <si>
    <t>Filtro</t>
  </si>
  <si>
    <t>7 anos 4 meses</t>
  </si>
  <si>
    <t>2 anos 2 meses</t>
  </si>
  <si>
    <t>Meses</t>
  </si>
  <si>
    <t>SIMULAÇÃO DE INCERTEZAS PARA OUTRAS ALTERNATIVAS DE LARGURA DE BANDA, PARA AS TRÊS ABSORBÂNCIAS DOS FILTROS DE DENSIDADE NEUTRA</t>
  </si>
  <si>
    <r>
      <t xml:space="preserve">O item foi calibrado de acordo com a última revisão da Instrução de Trabalho </t>
    </r>
    <r>
      <rPr>
        <b/>
        <sz val="9"/>
        <rFont val="Arial"/>
        <family val="2"/>
      </rPr>
      <t>IT-029 R0</t>
    </r>
    <r>
      <rPr>
        <sz val="9"/>
        <rFont val="Arial"/>
        <family val="2"/>
      </rPr>
      <t>.</t>
    </r>
  </si>
  <si>
    <t>Início</t>
  </si>
  <si>
    <t>Primeira varredura  (vermelho) de 235 a 645; segunda varredura azul, de 645 a 235</t>
  </si>
  <si>
    <t>Densidade neutra 0,25 A</t>
  </si>
  <si>
    <t>Densidade neutra 0,5 A</t>
  </si>
  <si>
    <t>ESCALA FOTOMÉTRICA - MODO ABSORBÂNCIA - 0,25 A</t>
  </si>
  <si>
    <t>ESCALA FOTOMÉTRICA - MODO ABSORBÂNCIA - 0,5 A</t>
  </si>
  <si>
    <t>ESCALA FOTOMÉTRICA - MODO ABSORBÂNCIA - 1 A</t>
  </si>
  <si>
    <t>ESCALA FOTOMÉTRICA - RESULTADOS - 0,25 A</t>
  </si>
  <si>
    <t>ESCALA FOTOMÉTRICA - RESULTADOS - 0,5 A</t>
  </si>
  <si>
    <t>ESCALA FOTOMÉTRICA - RESULTADOS - 1 A</t>
  </si>
  <si>
    <t>Guarulhos</t>
  </si>
  <si>
    <t>07056-000</t>
  </si>
  <si>
    <t>3. Calibração realizada nas dependências da Visomes.</t>
  </si>
  <si>
    <t>as incertezas de comprimento de onda originadas na calibração do padrão são iguais para todas as larguras de banda calibradas, uma vez que a incerteza da calibração é a mesma: U = 0,13 nm para LB = (0,1; 0,25; 0,5; 1; 1,5; 2; 3; 4; 5) nm.</t>
  </si>
  <si>
    <t>INCERTEZAS DA CALIBRAÇÃO DA ESCALA FOTOMÉTRICA</t>
  </si>
  <si>
    <t>INCERTEZAS DA CALIBRAÇÃO DA ESCALA DE COMPRIMENTOS DE ONDA</t>
  </si>
  <si>
    <t>Calibração de Espectrofotômetros - SERTIN</t>
  </si>
  <si>
    <t>CMC - Calibração de Espectrofotômetros - SERTIN</t>
  </si>
  <si>
    <t xml:space="preserve">4. </t>
  </si>
  <si>
    <t>Pensar em acrescentar a calibração até 10 nm para comprimento de onda, usando o filtro de óxido de hólmio</t>
  </si>
  <si>
    <t>Deriva temporal do padrão</t>
  </si>
  <si>
    <t>Repetitividade da medição</t>
  </si>
  <si>
    <t>5.</t>
  </si>
  <si>
    <t xml:space="preserve"> Corrigir na aba Incerteza Absorbância, célula G10 a possibilidade de calibraçao fotométrica com larguras de banda diferentes de 1 ou 5. Não está previsto</t>
  </si>
  <si>
    <t xml:space="preserve">Gp = </t>
  </si>
  <si>
    <t>n - p =</t>
  </si>
  <si>
    <r>
      <t>R</t>
    </r>
    <r>
      <rPr>
        <b/>
        <vertAlign val="superscript"/>
        <sz val="11"/>
        <color theme="1"/>
        <rFont val="Calibri"/>
        <family val="2"/>
        <scheme val="minor"/>
      </rPr>
      <t>2</t>
    </r>
    <r>
      <rPr>
        <b/>
        <sz val="11"/>
        <color theme="1"/>
        <rFont val="Calibri"/>
        <family val="2"/>
        <scheme val="minor"/>
      </rPr>
      <t xml:space="preserve"> =</t>
    </r>
  </si>
  <si>
    <t xml:space="preserve">s = </t>
  </si>
  <si>
    <r>
      <t>u(</t>
    </r>
    <r>
      <rPr>
        <b/>
        <sz val="11"/>
        <color theme="1"/>
        <rFont val="Symbol"/>
        <family val="1"/>
        <charset val="2"/>
      </rPr>
      <t>l</t>
    </r>
    <r>
      <rPr>
        <b/>
        <vertAlign val="subscript"/>
        <sz val="11"/>
        <color theme="1"/>
        <rFont val="Arial"/>
        <family val="2"/>
      </rPr>
      <t>pico</t>
    </r>
    <r>
      <rPr>
        <b/>
        <sz val="11"/>
        <color theme="1"/>
        <rFont val="Calibri"/>
        <family val="2"/>
        <scheme val="minor"/>
      </rPr>
      <t>) =</t>
    </r>
  </si>
  <si>
    <t>N =</t>
  </si>
  <si>
    <r>
      <t xml:space="preserve">Determinação de </t>
    </r>
    <r>
      <rPr>
        <sz val="9"/>
        <color theme="1"/>
        <rFont val="Symbol"/>
        <family val="1"/>
        <charset val="2"/>
      </rPr>
      <t>l</t>
    </r>
    <r>
      <rPr>
        <sz val="9"/>
        <color theme="1"/>
        <rFont val="Calibri"/>
        <family val="2"/>
        <scheme val="minor"/>
      </rPr>
      <t xml:space="preserve"> mínimo por interpolação</t>
    </r>
  </si>
  <si>
    <r>
      <t xml:space="preserve">GL </t>
    </r>
    <r>
      <rPr>
        <b/>
        <sz val="9"/>
        <color theme="1"/>
        <rFont val="Symbol"/>
        <family val="1"/>
        <charset val="2"/>
      </rPr>
      <t>l</t>
    </r>
    <r>
      <rPr>
        <b/>
        <sz val="9"/>
        <color theme="1"/>
        <rFont val="Calibri"/>
        <family val="2"/>
        <scheme val="minor"/>
      </rPr>
      <t>min</t>
    </r>
  </si>
  <si>
    <t>Futuramente a incerteza em comprimennto de onda será tratada junto com o método gráfico: interpolar (achar as constantes por determinantes, calcular erros dos coeficientes)</t>
  </si>
  <si>
    <t>INCERTEZA EXPANDIDA (Aprox. 95%) - CMC</t>
  </si>
  <si>
    <t>Reestimar o coeficiente da deriva do padrão (aba Incerteza Absorbância), baseado na função interpolada.</t>
  </si>
  <si>
    <t xml:space="preserve">Notas: </t>
  </si>
  <si>
    <t>FURP - Fundação para o Remédio Popular</t>
  </si>
  <si>
    <t>Rua Endres, 35</t>
  </si>
  <si>
    <t>Micronal</t>
  </si>
  <si>
    <t>AJS-1000</t>
  </si>
  <si>
    <t>AIB00010-0</t>
  </si>
  <si>
    <t>manual</t>
  </si>
  <si>
    <t xml:space="preserve">6. </t>
  </si>
  <si>
    <t>Contabilizar a resolução do padrão? Por exemplo: 0,01 nm para os padrões de comprimento de onda e 0,0001 A para os de absorbância? SIM, isto evita problemas com incerteza de espectrofotômetros melhores.</t>
  </si>
  <si>
    <t xml:space="preserve">7. </t>
  </si>
  <si>
    <t>Para absorbâncias acima de 2A, contabilizar as incertezas da linha de base (flutuação e estabilidade)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</si>
</sst>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000"/>
    <numFmt numFmtId="166" formatCode="0.0000"/>
    <numFmt numFmtId="167" formatCode="dd/mm/yy;@"/>
    <numFmt numFmtId="168" formatCode="mmm/yyyy"/>
    <numFmt numFmtId="169" formatCode="00000\-000"/>
    <numFmt numFmtId="170" formatCode="dd/mm/yy"/>
    <numFmt numFmtId="171" formatCode="0.000000"/>
    <numFmt numFmtId="172" formatCode="0.000000E+00"/>
  </numFmts>
  <fonts count="126">
    <font>
      <sz val="11"/>
      <color theme="1"/>
      <name val="Calibri"/>
      <family val="2"/>
      <scheme val="minor"/>
    </font>
    <font>
      <sz val="9"/>
      <name val="Arial"/>
      <family val="2"/>
    </font>
    <font>
      <b/>
      <sz val="14"/>
      <color indexed="8"/>
      <name val="Calibri"/>
      <family val="2"/>
    </font>
    <font>
      <sz val="9"/>
      <color indexed="8"/>
      <name val="Symbol"/>
      <family val="1"/>
      <charset val="2"/>
    </font>
    <font>
      <b/>
      <sz val="9"/>
      <color indexed="8"/>
      <name val="Calibri"/>
      <family val="2"/>
    </font>
    <font>
      <sz val="10"/>
      <name val="Arial"/>
      <family val="2"/>
    </font>
    <font>
      <b/>
      <sz val="9"/>
      <color indexed="8"/>
      <name val="Symbol"/>
      <family val="1"/>
      <charset val="2"/>
    </font>
    <font>
      <b/>
      <sz val="9"/>
      <color indexed="8"/>
      <name val="Symbol"/>
      <family val="2"/>
      <charset val="2"/>
    </font>
    <font>
      <b/>
      <sz val="10"/>
      <name val="Arial"/>
      <family val="2"/>
    </font>
    <font>
      <b/>
      <sz val="9"/>
      <color indexed="81"/>
      <name val="Segoe UI"/>
      <family val="2"/>
    </font>
    <font>
      <b/>
      <sz val="10"/>
      <name val="Arial"/>
      <family val="1"/>
      <charset val="2"/>
    </font>
    <font>
      <b/>
      <sz val="10"/>
      <name val="Symbol"/>
      <family val="1"/>
      <charset val="2"/>
    </font>
    <font>
      <b/>
      <sz val="11"/>
      <name val="Symbol"/>
      <family val="1"/>
      <charset val="2"/>
    </font>
    <font>
      <b/>
      <vertAlign val="subscript"/>
      <sz val="10"/>
      <color indexed="8"/>
      <name val="Calibri"/>
      <family val="2"/>
    </font>
    <font>
      <sz val="9"/>
      <color indexed="81"/>
      <name val="Segoe UI"/>
      <family val="2"/>
    </font>
    <font>
      <sz val="8"/>
      <name val="Calibri"/>
      <family val="2"/>
    </font>
    <font>
      <b/>
      <sz val="18"/>
      <name val="Arial"/>
      <family val="2"/>
    </font>
    <font>
      <b/>
      <sz val="16"/>
      <name val="Arial"/>
      <family val="2"/>
    </font>
    <font>
      <b/>
      <sz val="11"/>
      <name val="Calibri"/>
      <family val="2"/>
    </font>
    <font>
      <b/>
      <i/>
      <sz val="9"/>
      <color indexed="8"/>
      <name val="Calibri"/>
      <family val="2"/>
    </font>
    <font>
      <b/>
      <i/>
      <vertAlign val="subscript"/>
      <sz val="9"/>
      <color indexed="8"/>
      <name val="Calibri"/>
      <family val="2"/>
    </font>
    <font>
      <i/>
      <sz val="9"/>
      <name val="Arial"/>
      <family val="2"/>
    </font>
    <font>
      <i/>
      <vertAlign val="subscript"/>
      <sz val="9"/>
      <name val="Arial"/>
      <family val="2"/>
    </font>
    <font>
      <sz val="9"/>
      <color indexed="81"/>
      <name val="Symbol"/>
      <family val="1"/>
      <charset val="2"/>
    </font>
    <font>
      <b/>
      <sz val="9"/>
      <color indexed="81"/>
      <name val="Segoe UL9"/>
    </font>
    <font>
      <b/>
      <sz val="9"/>
      <color indexed="81"/>
      <name val="Symbol"/>
      <family val="1"/>
      <charset val="2"/>
    </font>
    <font>
      <b/>
      <sz val="11"/>
      <color indexed="8"/>
      <name val="Calibri"/>
      <family val="2"/>
    </font>
    <font>
      <b/>
      <sz val="11"/>
      <color indexed="8"/>
      <name val="Symbol"/>
      <family val="1"/>
      <charset val="2"/>
    </font>
    <font>
      <b/>
      <vertAlign val="subscript"/>
      <sz val="9"/>
      <color indexed="81"/>
      <name val="Segoe UI"/>
      <family val="2"/>
    </font>
    <font>
      <b/>
      <vertAlign val="superscript"/>
      <sz val="9"/>
      <color indexed="81"/>
      <name val="Segoe UI"/>
      <family val="2"/>
    </font>
    <font>
      <b/>
      <vertAlign val="subscript"/>
      <sz val="9"/>
      <color indexed="8"/>
      <name val="Calibri"/>
      <family val="2"/>
    </font>
    <font>
      <sz val="11"/>
      <color rgb="FFFF0000"/>
      <name val="Calibri"/>
      <family val="2"/>
      <scheme val="minor"/>
    </font>
    <font>
      <b/>
      <sz val="11"/>
      <color theme="1"/>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b/>
      <sz val="14"/>
      <color theme="1"/>
      <name val="Calibri"/>
      <family val="2"/>
      <scheme val="minor"/>
    </font>
    <font>
      <sz val="14"/>
      <color theme="1"/>
      <name val="Calibri"/>
      <family val="2"/>
      <scheme val="minor"/>
    </font>
    <font>
      <b/>
      <sz val="9"/>
      <color theme="1"/>
      <name val="Symbol"/>
      <family val="1"/>
      <charset val="2"/>
    </font>
    <font>
      <b/>
      <sz val="10"/>
      <color theme="1"/>
      <name val="Calibri"/>
      <family val="2"/>
      <scheme val="minor"/>
    </font>
    <font>
      <b/>
      <sz val="11"/>
      <color rgb="FF0070C0"/>
      <name val="Calibri"/>
      <family val="2"/>
      <scheme val="minor"/>
    </font>
    <font>
      <b/>
      <sz val="8"/>
      <color theme="1"/>
      <name val="Calibri"/>
      <family val="2"/>
      <scheme val="minor"/>
    </font>
    <font>
      <b/>
      <sz val="9"/>
      <color rgb="FFFF0000"/>
      <name val="Calibri"/>
      <family val="2"/>
      <scheme val="minor"/>
    </font>
    <font>
      <b/>
      <sz val="11"/>
      <name val="Calibri"/>
      <family val="2"/>
      <scheme val="minor"/>
    </font>
    <font>
      <sz val="11"/>
      <name val="Calibri"/>
      <family val="2"/>
      <scheme val="minor"/>
    </font>
    <font>
      <b/>
      <sz val="9"/>
      <name val="Calibri"/>
      <family val="2"/>
      <scheme val="minor"/>
    </font>
    <font>
      <sz val="9"/>
      <color theme="1"/>
      <name val="Symbol"/>
      <family val="1"/>
      <charset val="2"/>
    </font>
    <font>
      <b/>
      <sz val="10"/>
      <color theme="1"/>
      <name val="Symbol"/>
      <family val="1"/>
      <charset val="2"/>
    </font>
    <font>
      <b/>
      <sz val="11"/>
      <color rgb="FFFF0000"/>
      <name val="Calibri"/>
      <family val="2"/>
      <scheme val="minor"/>
    </font>
    <font>
      <b/>
      <sz val="22"/>
      <color theme="1"/>
      <name val="Calibri"/>
      <family val="2"/>
      <scheme val="minor"/>
    </font>
    <font>
      <sz val="12"/>
      <color theme="1"/>
      <name val="Calibri"/>
      <family val="2"/>
      <scheme val="minor"/>
    </font>
    <font>
      <sz val="8"/>
      <color theme="1"/>
      <name val="Calibri"/>
      <family val="2"/>
      <scheme val="minor"/>
    </font>
    <font>
      <b/>
      <sz val="12"/>
      <color theme="1"/>
      <name val="Calibri"/>
      <family val="2"/>
      <scheme val="minor"/>
    </font>
    <font>
      <b/>
      <sz val="20"/>
      <color indexed="12"/>
      <name val="Times New Roman"/>
      <family val="1"/>
    </font>
    <font>
      <b/>
      <sz val="19"/>
      <color rgb="FF0000FF"/>
      <name val="Times New Roman"/>
      <family val="1"/>
    </font>
    <font>
      <b/>
      <sz val="17"/>
      <color indexed="48"/>
      <name val="Times New Roman"/>
      <family val="1"/>
    </font>
    <font>
      <b/>
      <u/>
      <sz val="12"/>
      <color indexed="8"/>
      <name val="Times New Roman"/>
      <family val="1"/>
    </font>
    <font>
      <sz val="12"/>
      <color indexed="8"/>
      <name val="Times New Roman"/>
      <family val="1"/>
    </font>
    <font>
      <sz val="12"/>
      <color rgb="FF0000FF"/>
      <name val="Times New Roman"/>
      <family val="1"/>
    </font>
    <font>
      <sz val="12"/>
      <color rgb="FF0000FF"/>
      <name val="Arial"/>
      <family val="2"/>
    </font>
    <font>
      <b/>
      <i/>
      <sz val="13"/>
      <name val="Arial"/>
      <family val="2"/>
    </font>
    <font>
      <b/>
      <i/>
      <sz val="15"/>
      <name val="Arial"/>
      <family val="2"/>
    </font>
    <font>
      <b/>
      <sz val="15"/>
      <name val="Arial"/>
      <family val="2"/>
    </font>
    <font>
      <b/>
      <sz val="9"/>
      <name val="Arial"/>
      <family val="2"/>
    </font>
    <font>
      <sz val="16"/>
      <name val="Arial"/>
      <family val="2"/>
    </font>
    <font>
      <i/>
      <sz val="15"/>
      <name val="Arial"/>
      <family val="2"/>
    </font>
    <font>
      <i/>
      <sz val="16"/>
      <name val="Arial"/>
      <family val="2"/>
    </font>
    <font>
      <sz val="12"/>
      <name val="Arial"/>
      <family val="2"/>
    </font>
    <font>
      <b/>
      <i/>
      <sz val="16"/>
      <name val="Arial"/>
      <family val="2"/>
    </font>
    <font>
      <i/>
      <sz val="10"/>
      <color indexed="8"/>
      <name val="Arial"/>
      <family val="2"/>
    </font>
    <font>
      <i/>
      <sz val="11"/>
      <color indexed="8"/>
      <name val="Arial"/>
      <family val="2"/>
    </font>
    <font>
      <i/>
      <sz val="12"/>
      <name val="Arial"/>
      <family val="2"/>
    </font>
    <font>
      <i/>
      <sz val="12"/>
      <color indexed="8"/>
      <name val="Arial"/>
      <family val="2"/>
    </font>
    <font>
      <sz val="11"/>
      <name val="Arial"/>
      <family val="2"/>
    </font>
    <font>
      <b/>
      <i/>
      <sz val="12"/>
      <name val="Arial"/>
      <family val="2"/>
    </font>
    <font>
      <sz val="12"/>
      <color indexed="40"/>
      <name val="Arial"/>
      <family val="2"/>
    </font>
    <font>
      <b/>
      <sz val="8"/>
      <name val="Arial"/>
      <family val="2"/>
    </font>
    <font>
      <sz val="8"/>
      <name val="Arial"/>
      <family val="2"/>
    </font>
    <font>
      <sz val="9"/>
      <color indexed="40"/>
      <name val="Arial"/>
      <family val="2"/>
    </font>
    <font>
      <b/>
      <i/>
      <sz val="9"/>
      <name val="Arial"/>
      <family val="2"/>
    </font>
    <font>
      <sz val="9"/>
      <color indexed="12"/>
      <name val="Arial"/>
      <family val="2"/>
    </font>
    <font>
      <u/>
      <sz val="9"/>
      <color theme="3" tint="0.39997558519241921"/>
      <name val="Arial"/>
      <family val="2"/>
    </font>
    <font>
      <sz val="15"/>
      <name val="Arial"/>
      <family val="2"/>
    </font>
    <font>
      <sz val="15"/>
      <color theme="1"/>
      <name val="Calibri"/>
      <family val="2"/>
      <scheme val="minor"/>
    </font>
    <font>
      <b/>
      <i/>
      <sz val="9"/>
      <color indexed="12"/>
      <name val="Arial"/>
      <family val="2"/>
    </font>
    <font>
      <sz val="9"/>
      <color indexed="22"/>
      <name val="Arial"/>
      <family val="2"/>
    </font>
    <font>
      <sz val="11"/>
      <color indexed="8"/>
      <name val="Arial"/>
      <family val="2"/>
    </font>
    <font>
      <sz val="9"/>
      <color indexed="48"/>
      <name val="Arial"/>
      <family val="2"/>
    </font>
    <font>
      <sz val="10"/>
      <color indexed="12"/>
      <name val="Arial"/>
      <family val="2"/>
    </font>
    <font>
      <b/>
      <sz val="9"/>
      <color theme="1"/>
      <name val="Arial"/>
      <family val="2"/>
    </font>
    <font>
      <sz val="10"/>
      <color theme="1"/>
      <name val="Arial"/>
      <family val="2"/>
    </font>
    <font>
      <b/>
      <sz val="9"/>
      <name val="Symbol"/>
      <family val="1"/>
      <charset val="2"/>
    </font>
    <font>
      <b/>
      <sz val="8"/>
      <name val="Arial"/>
      <family val="1"/>
      <charset val="2"/>
    </font>
    <font>
      <b/>
      <sz val="8"/>
      <name val="Symbol"/>
      <family val="1"/>
      <charset val="2"/>
    </font>
    <font>
      <b/>
      <sz val="9"/>
      <color theme="1"/>
      <name val="Calibri"/>
      <family val="1"/>
      <charset val="2"/>
      <scheme val="minor"/>
    </font>
    <font>
      <b/>
      <vertAlign val="subscript"/>
      <sz val="9"/>
      <color theme="1"/>
      <name val="Calibri"/>
      <family val="2"/>
      <scheme val="minor"/>
    </font>
    <font>
      <sz val="8"/>
      <name val="Calibri"/>
      <family val="2"/>
      <scheme val="minor"/>
    </font>
    <font>
      <sz val="18"/>
      <name val="Calibri"/>
      <family val="2"/>
      <scheme val="minor"/>
    </font>
    <font>
      <sz val="18"/>
      <color theme="1"/>
      <name val="Calibri"/>
      <family val="2"/>
      <scheme val="minor"/>
    </font>
    <font>
      <sz val="9"/>
      <name val="Calibri"/>
      <family val="2"/>
      <scheme val="minor"/>
    </font>
    <font>
      <sz val="9"/>
      <color rgb="FFFF0000"/>
      <name val="Calibri"/>
      <family val="2"/>
      <scheme val="minor"/>
    </font>
    <font>
      <b/>
      <sz val="10"/>
      <color rgb="FFFF0000"/>
      <name val="Calibri"/>
      <family val="2"/>
      <scheme val="minor"/>
    </font>
    <font>
      <sz val="9"/>
      <color theme="1"/>
      <name val="Calibri"/>
      <family val="2"/>
    </font>
    <font>
      <sz val="9"/>
      <color rgb="FF000000"/>
      <name val="Arial"/>
      <family val="2"/>
    </font>
    <font>
      <b/>
      <sz val="15"/>
      <color rgb="FFFF0000"/>
      <name val="Arial"/>
      <family val="2"/>
    </font>
    <font>
      <sz val="10"/>
      <color rgb="FFFF0000"/>
      <name val="Arial"/>
      <family val="2"/>
    </font>
    <font>
      <sz val="9"/>
      <color rgb="FFFF0000"/>
      <name val="Arial"/>
      <family val="2"/>
    </font>
    <font>
      <b/>
      <sz val="10"/>
      <color theme="1"/>
      <name val="Arial"/>
      <family val="2"/>
    </font>
    <font>
      <b/>
      <sz val="11"/>
      <color theme="1"/>
      <name val="Symbol"/>
      <family val="1"/>
      <charset val="2"/>
    </font>
    <font>
      <sz val="7"/>
      <color theme="1"/>
      <name val="Calibri"/>
      <family val="2"/>
      <scheme val="minor"/>
    </font>
    <font>
      <b/>
      <vertAlign val="subscript"/>
      <sz val="11"/>
      <color theme="1"/>
      <name val="Calibri"/>
      <family val="2"/>
      <scheme val="minor"/>
    </font>
    <font>
      <sz val="11"/>
      <color theme="1"/>
      <name val="Calibri"/>
      <family val="1"/>
      <charset val="2"/>
      <scheme val="minor"/>
    </font>
    <font>
      <b/>
      <vertAlign val="subscript"/>
      <sz val="11"/>
      <color theme="1"/>
      <name val="Arial"/>
      <family val="2"/>
    </font>
    <font>
      <b/>
      <vertAlign val="subscript"/>
      <sz val="10"/>
      <color theme="1"/>
      <name val="Arial"/>
      <family val="2"/>
    </font>
    <font>
      <b/>
      <sz val="8"/>
      <color rgb="FFFF0000"/>
      <name val="Calibri"/>
      <family val="2"/>
      <scheme val="minor"/>
    </font>
    <font>
      <b/>
      <sz val="8"/>
      <color rgb="FF00B050"/>
      <name val="Calibri"/>
      <family val="2"/>
      <scheme val="minor"/>
    </font>
    <font>
      <vertAlign val="superscript"/>
      <sz val="9"/>
      <color theme="1"/>
      <name val="Calibri"/>
      <family val="2"/>
      <scheme val="minor"/>
    </font>
    <font>
      <b/>
      <vertAlign val="superscript"/>
      <sz val="10"/>
      <color theme="1"/>
      <name val="Calibri"/>
      <family val="2"/>
      <scheme val="minor"/>
    </font>
    <font>
      <b/>
      <sz val="11"/>
      <color theme="1"/>
      <name val="Calibri"/>
      <family val="1"/>
      <charset val="2"/>
      <scheme val="minor"/>
    </font>
    <font>
      <b/>
      <vertAlign val="subscript"/>
      <sz val="11"/>
      <name val="Calibri"/>
      <family val="2"/>
      <scheme val="minor"/>
    </font>
    <font>
      <b/>
      <sz val="11"/>
      <name val="Calibri"/>
      <family val="1"/>
      <charset val="2"/>
      <scheme val="minor"/>
    </font>
    <font>
      <b/>
      <sz val="8"/>
      <color theme="1"/>
      <name val="Arial"/>
      <family val="2"/>
    </font>
    <font>
      <b/>
      <vertAlign val="superscript"/>
      <sz val="11"/>
      <color theme="1"/>
      <name val="Calibri"/>
      <family val="2"/>
      <scheme val="minor"/>
    </font>
    <font>
      <vertAlign val="superscript"/>
      <sz val="9"/>
      <color indexed="81"/>
      <name val="Segoe UI"/>
      <family val="2"/>
    </font>
    <font>
      <b/>
      <sz val="9"/>
      <color indexed="81"/>
      <name val="Arial"/>
      <family val="2"/>
    </font>
    <font>
      <b/>
      <sz val="11"/>
      <color rgb="FFFF0000"/>
      <name val="Calibri"/>
      <family val="1"/>
      <charset val="2"/>
      <scheme val="minor"/>
    </font>
  </fonts>
  <fills count="13">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00B0F0"/>
        <bgColor indexed="64"/>
      </patternFill>
    </fill>
    <fill>
      <patternFill patternType="solid">
        <fgColor theme="0" tint="-0.499984740745262"/>
        <bgColor indexed="64"/>
      </patternFill>
    </fill>
    <fill>
      <patternFill patternType="solid">
        <fgColor rgb="FFFF0000"/>
        <bgColor indexed="64"/>
      </patternFill>
    </fill>
    <fill>
      <patternFill patternType="solid">
        <fgColor rgb="FFDBEEF4"/>
        <bgColor rgb="FFDAEEF3"/>
      </patternFill>
    </fill>
    <fill>
      <patternFill patternType="solid">
        <fgColor indexed="22"/>
        <bgColor indexed="22"/>
      </patternFill>
    </fill>
    <fill>
      <patternFill patternType="solid">
        <fgColor rgb="FFFFC000"/>
        <bgColor indexed="64"/>
      </patternFill>
    </fill>
    <fill>
      <patternFill patternType="solid">
        <fgColor theme="8" tint="0.39997558519241921"/>
        <bgColor indexed="64"/>
      </patternFill>
    </fill>
  </fills>
  <borders count="97">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bottom style="thick">
        <color indexed="64"/>
      </bottom>
      <diagonal/>
    </border>
    <border>
      <left style="thick">
        <color indexed="64"/>
      </left>
      <right style="thick">
        <color indexed="64"/>
      </right>
      <top/>
      <bottom style="thin">
        <color indexed="64"/>
      </bottom>
      <diagonal/>
    </border>
    <border>
      <left style="thick">
        <color indexed="64"/>
      </left>
      <right style="thick">
        <color indexed="64"/>
      </right>
      <top/>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ck">
        <color indexed="64"/>
      </left>
      <right style="thick">
        <color indexed="64"/>
      </right>
      <top style="thick">
        <color indexed="64"/>
      </top>
      <bottom/>
      <diagonal/>
    </border>
    <border>
      <left/>
      <right/>
      <top/>
      <bottom style="thick">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style="thick">
        <color indexed="64"/>
      </right>
      <top/>
      <bottom/>
      <diagonal/>
    </border>
    <border>
      <left/>
      <right style="thick">
        <color indexed="64"/>
      </right>
      <top/>
      <bottom style="thick">
        <color indexed="64"/>
      </bottom>
      <diagonal/>
    </border>
    <border>
      <left style="thick">
        <color indexed="64"/>
      </left>
      <right/>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style="thick">
        <color indexed="64"/>
      </bottom>
      <diagonal/>
    </border>
    <border>
      <left/>
      <right style="thick">
        <color indexed="64"/>
      </right>
      <top style="thick">
        <color indexed="64"/>
      </top>
      <bottom/>
      <diagonal/>
    </border>
    <border>
      <left style="thin">
        <color indexed="64"/>
      </left>
      <right style="thin">
        <color indexed="64"/>
      </right>
      <top/>
      <bottom style="medium">
        <color indexed="64"/>
      </bottom>
      <diagonal/>
    </border>
    <border>
      <left style="thick">
        <color indexed="64"/>
      </left>
      <right/>
      <top style="thick">
        <color indexed="64"/>
      </top>
      <bottom/>
      <diagonal/>
    </border>
  </borders>
  <cellStyleXfs count="2">
    <xf numFmtId="0" fontId="0" fillId="0" borderId="0"/>
    <xf numFmtId="0" fontId="5" fillId="0" borderId="0"/>
  </cellStyleXfs>
  <cellXfs count="1108">
    <xf numFmtId="0" fontId="0" fillId="0" borderId="0" xfId="0"/>
    <xf numFmtId="0" fontId="33"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2" borderId="2" xfId="0" applyFill="1" applyBorder="1"/>
    <xf numFmtId="0" fontId="0" fillId="2" borderId="3" xfId="0" applyFill="1" applyBorder="1"/>
    <xf numFmtId="0" fontId="0" fillId="2" borderId="5" xfId="0" applyFill="1" applyBorder="1" applyAlignment="1">
      <alignment horizontal="center"/>
    </xf>
    <xf numFmtId="0" fontId="0" fillId="2" borderId="6" xfId="0" applyFill="1" applyBorder="1"/>
    <xf numFmtId="0" fontId="0" fillId="0" borderId="6" xfId="0" applyBorder="1" applyAlignment="1">
      <alignment horizontal="center"/>
    </xf>
    <xf numFmtId="0" fontId="0" fillId="3" borderId="7" xfId="0" applyFill="1" applyBorder="1" applyAlignment="1">
      <alignment horizontal="center"/>
    </xf>
    <xf numFmtId="0" fontId="0" fillId="3" borderId="7" xfId="0" applyFill="1" applyBorder="1"/>
    <xf numFmtId="0" fontId="0" fillId="0" borderId="8" xfId="0" applyBorder="1"/>
    <xf numFmtId="0" fontId="0" fillId="3" borderId="9" xfId="0" applyFill="1" applyBorder="1"/>
    <xf numFmtId="0" fontId="0" fillId="0" borderId="10" xfId="0" applyBorder="1"/>
    <xf numFmtId="0" fontId="0" fillId="0" borderId="5" xfId="0" applyBorder="1" applyAlignment="1">
      <alignment horizontal="center"/>
    </xf>
    <xf numFmtId="0" fontId="0" fillId="2" borderId="5" xfId="0" applyFill="1" applyBorder="1"/>
    <xf numFmtId="0" fontId="33" fillId="2" borderId="11" xfId="0" applyFont="1" applyFill="1" applyBorder="1"/>
    <xf numFmtId="0" fontId="33" fillId="2" borderId="12" xfId="0" applyFont="1" applyFill="1" applyBorder="1"/>
    <xf numFmtId="0" fontId="33" fillId="2" borderId="13" xfId="0" applyFont="1" applyFill="1" applyBorder="1"/>
    <xf numFmtId="164" fontId="0" fillId="2" borderId="5" xfId="0" applyNumberFormat="1" applyFill="1" applyBorder="1" applyAlignment="1">
      <alignment horizontal="center"/>
    </xf>
    <xf numFmtId="0" fontId="0" fillId="0" borderId="0" xfId="0" applyBorder="1"/>
    <xf numFmtId="0" fontId="0" fillId="2" borderId="2" xfId="0" applyFill="1" applyBorder="1"/>
    <xf numFmtId="0" fontId="0" fillId="2" borderId="0" xfId="0" applyFill="1" applyBorder="1"/>
    <xf numFmtId="0" fontId="34" fillId="0" borderId="4" xfId="0" applyFont="1" applyBorder="1" applyAlignment="1"/>
    <xf numFmtId="0" fontId="34" fillId="0" borderId="9" xfId="0" applyFont="1" applyBorder="1" applyAlignment="1"/>
    <xf numFmtId="0" fontId="34" fillId="0" borderId="0" xfId="0" applyFont="1" applyBorder="1" applyAlignment="1">
      <alignment horizontal="center" vertical="center"/>
    </xf>
    <xf numFmtId="0" fontId="34" fillId="0" borderId="0" xfId="0" applyFont="1" applyBorder="1" applyAlignment="1"/>
    <xf numFmtId="0" fontId="32" fillId="0" borderId="0" xfId="0" applyFont="1"/>
    <xf numFmtId="0" fontId="36" fillId="0" borderId="0" xfId="0" applyFont="1" applyBorder="1" applyAlignment="1"/>
    <xf numFmtId="0" fontId="36" fillId="0" borderId="0" xfId="0" applyFont="1" applyBorder="1" applyAlignment="1">
      <alignment horizontal="center"/>
    </xf>
    <xf numFmtId="0" fontId="36" fillId="0" borderId="1" xfId="0" applyFont="1" applyBorder="1" applyAlignment="1">
      <alignment horizontal="center"/>
    </xf>
    <xf numFmtId="0" fontId="0" fillId="2" borderId="5" xfId="0" applyFill="1" applyBorder="1" applyAlignment="1">
      <alignment horizontal="center"/>
    </xf>
    <xf numFmtId="0" fontId="0" fillId="0" borderId="12" xfId="0" applyBorder="1"/>
    <xf numFmtId="164" fontId="0" fillId="0" borderId="0" xfId="0" applyNumberFormat="1" applyFont="1" applyBorder="1" applyAlignment="1">
      <alignment horizontal="center"/>
    </xf>
    <xf numFmtId="165" fontId="0" fillId="0" borderId="0" xfId="0" applyNumberFormat="1" applyFont="1" applyBorder="1" applyAlignment="1">
      <alignment horizontal="center"/>
    </xf>
    <xf numFmtId="164" fontId="37" fillId="0" borderId="0" xfId="0" applyNumberFormat="1" applyFont="1" applyBorder="1" applyAlignment="1">
      <alignment horizontal="center"/>
    </xf>
    <xf numFmtId="0" fontId="37" fillId="0" borderId="0" xfId="0" applyFont="1" applyBorder="1" applyAlignment="1">
      <alignment horizontal="center"/>
    </xf>
    <xf numFmtId="164" fontId="0" fillId="0" borderId="0" xfId="0" applyNumberFormat="1" applyFont="1" applyFill="1" applyBorder="1" applyAlignment="1">
      <alignment horizontal="center"/>
    </xf>
    <xf numFmtId="165" fontId="0" fillId="0" borderId="0" xfId="0" applyNumberFormat="1" applyFont="1" applyFill="1" applyBorder="1" applyAlignment="1">
      <alignment horizontal="center"/>
    </xf>
    <xf numFmtId="0" fontId="0" fillId="0" borderId="0" xfId="0" applyFont="1" applyBorder="1" applyAlignment="1">
      <alignment horizontal="center"/>
    </xf>
    <xf numFmtId="164" fontId="0" fillId="0" borderId="15" xfId="0" applyNumberFormat="1" applyFont="1" applyBorder="1" applyAlignment="1">
      <alignment horizontal="center"/>
    </xf>
    <xf numFmtId="165" fontId="0" fillId="0" borderId="16" xfId="0" applyNumberFormat="1" applyFont="1" applyBorder="1" applyAlignment="1">
      <alignment horizontal="center"/>
    </xf>
    <xf numFmtId="164" fontId="0" fillId="0" borderId="17" xfId="0" applyNumberFormat="1" applyFont="1" applyBorder="1" applyAlignment="1">
      <alignment horizontal="center"/>
    </xf>
    <xf numFmtId="2" fontId="0" fillId="4" borderId="15" xfId="0" applyNumberFormat="1" applyFont="1" applyFill="1" applyBorder="1" applyAlignment="1">
      <alignment horizontal="center"/>
    </xf>
    <xf numFmtId="0" fontId="36" fillId="0" borderId="18" xfId="0" applyFont="1" applyBorder="1" applyAlignment="1">
      <alignment horizontal="center"/>
    </xf>
    <xf numFmtId="164" fontId="0" fillId="0" borderId="19" xfId="0" applyNumberFormat="1" applyFont="1" applyBorder="1" applyAlignment="1">
      <alignment horizontal="center"/>
    </xf>
    <xf numFmtId="0" fontId="39" fillId="0" borderId="0" xfId="0" applyFont="1" applyBorder="1" applyAlignment="1">
      <alignment horizontal="center"/>
    </xf>
    <xf numFmtId="0" fontId="5" fillId="0" borderId="0" xfId="0" applyFont="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66" fontId="0" fillId="0" borderId="0" xfId="0" applyNumberFormat="1" applyAlignment="1">
      <alignment horizontal="center"/>
    </xf>
    <xf numFmtId="0" fontId="0" fillId="0" borderId="0" xfId="0" applyAlignment="1">
      <alignment horizontal="center"/>
    </xf>
    <xf numFmtId="0" fontId="5" fillId="0" borderId="0" xfId="0" applyFont="1"/>
    <xf numFmtId="0" fontId="0" fillId="0" borderId="7" xfId="0" applyBorder="1"/>
    <xf numFmtId="0" fontId="0" fillId="0" borderId="7" xfId="0" applyBorder="1" applyAlignment="1">
      <alignment horizontal="center"/>
    </xf>
    <xf numFmtId="0" fontId="0" fillId="0" borderId="9" xfId="0" applyBorder="1" applyAlignment="1">
      <alignment horizontal="center"/>
    </xf>
    <xf numFmtId="0" fontId="0" fillId="0" borderId="1" xfId="0" applyBorder="1" applyAlignment="1">
      <alignment horizontal="center"/>
    </xf>
    <xf numFmtId="0" fontId="0" fillId="0" borderId="18" xfId="0" applyFont="1" applyBorder="1" applyAlignment="1">
      <alignment horizontal="center"/>
    </xf>
    <xf numFmtId="165" fontId="0" fillId="0" borderId="18" xfId="0" applyNumberFormat="1" applyFont="1" applyBorder="1" applyAlignment="1">
      <alignment horizontal="center"/>
    </xf>
    <xf numFmtId="164" fontId="0" fillId="0" borderId="18" xfId="0" applyNumberFormat="1" applyFont="1" applyBorder="1" applyAlignment="1">
      <alignment horizontal="center"/>
    </xf>
    <xf numFmtId="164" fontId="37" fillId="0" borderId="18" xfId="0" applyNumberFormat="1" applyFont="1" applyBorder="1" applyAlignment="1">
      <alignment horizontal="center"/>
    </xf>
    <xf numFmtId="164" fontId="0" fillId="0" borderId="18" xfId="0" applyNumberFormat="1" applyFont="1" applyFill="1" applyBorder="1" applyAlignment="1">
      <alignment horizontal="center"/>
    </xf>
    <xf numFmtId="165" fontId="0" fillId="0" borderId="18" xfId="0" applyNumberFormat="1" applyFont="1" applyFill="1" applyBorder="1" applyAlignment="1">
      <alignment horizontal="center"/>
    </xf>
    <xf numFmtId="0" fontId="0" fillId="0" borderId="18" xfId="0" applyBorder="1"/>
    <xf numFmtId="0" fontId="0" fillId="0" borderId="16" xfId="0" applyBorder="1"/>
    <xf numFmtId="0" fontId="38" fillId="0" borderId="20" xfId="0" applyFont="1" applyBorder="1" applyAlignment="1">
      <alignment horizontal="left" vertical="center"/>
    </xf>
    <xf numFmtId="0" fontId="38" fillId="0" borderId="21" xfId="0" applyFont="1" applyBorder="1" applyAlignment="1">
      <alignment horizontal="center" vertical="center"/>
    </xf>
    <xf numFmtId="0" fontId="39" fillId="0" borderId="21" xfId="0" applyFont="1" applyBorder="1" applyAlignment="1">
      <alignment horizontal="center" vertical="center"/>
    </xf>
    <xf numFmtId="0" fontId="0" fillId="2" borderId="2" xfId="0" applyFill="1" applyBorder="1" applyAlignment="1">
      <alignment horizontal="right"/>
    </xf>
    <xf numFmtId="0" fontId="1" fillId="0" borderId="0" xfId="0" applyFont="1" applyFill="1" applyBorder="1" applyAlignment="1" applyProtection="1">
      <alignment vertical="center" wrapText="1"/>
      <protection locked="0" hidden="1"/>
    </xf>
    <xf numFmtId="0" fontId="0" fillId="0" borderId="0" xfId="0" applyAlignment="1"/>
    <xf numFmtId="0" fontId="40" fillId="0" borderId="0" xfId="0" applyFont="1"/>
    <xf numFmtId="0" fontId="8" fillId="0" borderId="13" xfId="0" applyFont="1" applyBorder="1"/>
    <xf numFmtId="0" fontId="8" fillId="0" borderId="11" xfId="0" applyFont="1" applyBorder="1" applyAlignment="1">
      <alignment horizontal="center"/>
    </xf>
    <xf numFmtId="0" fontId="32" fillId="0" borderId="12" xfId="0" applyFont="1" applyBorder="1"/>
    <xf numFmtId="0" fontId="8" fillId="0" borderId="7" xfId="0" applyFont="1" applyBorder="1"/>
    <xf numFmtId="0" fontId="8" fillId="0" borderId="0" xfId="0" applyFont="1" applyAlignment="1">
      <alignment horizontal="center"/>
    </xf>
    <xf numFmtId="0" fontId="8" fillId="0" borderId="8" xfId="0" applyFont="1" applyBorder="1"/>
    <xf numFmtId="0" fontId="32" fillId="0" borderId="0" xfId="0" applyFont="1" applyAlignment="1">
      <alignment horizontal="center"/>
    </xf>
    <xf numFmtId="0" fontId="32" fillId="0" borderId="8" xfId="0" applyFont="1" applyBorder="1"/>
    <xf numFmtId="0" fontId="32" fillId="0" borderId="22" xfId="0" applyFont="1" applyBorder="1" applyAlignment="1">
      <alignment horizontal="center"/>
    </xf>
    <xf numFmtId="0" fontId="32" fillId="0" borderId="23" xfId="0" applyFont="1" applyBorder="1" applyAlignment="1">
      <alignment horizontal="center"/>
    </xf>
    <xf numFmtId="0" fontId="7" fillId="0" borderId="24" xfId="0" applyFont="1" applyBorder="1" applyAlignment="1">
      <alignment horizontal="center"/>
    </xf>
    <xf numFmtId="0" fontId="38" fillId="0" borderId="27" xfId="0" applyFont="1" applyBorder="1" applyAlignment="1">
      <alignment horizontal="center"/>
    </xf>
    <xf numFmtId="165" fontId="0" fillId="4" borderId="28" xfId="0" applyNumberFormat="1" applyFill="1" applyBorder="1" applyAlignment="1">
      <alignment horizontal="center"/>
    </xf>
    <xf numFmtId="0" fontId="38" fillId="0" borderId="29" xfId="0" applyFont="1" applyBorder="1" applyAlignment="1">
      <alignment horizontal="center"/>
    </xf>
    <xf numFmtId="0" fontId="32" fillId="0" borderId="30" xfId="0" applyFont="1" applyBorder="1" applyAlignment="1">
      <alignment horizontal="center"/>
    </xf>
    <xf numFmtId="0" fontId="32" fillId="0" borderId="31" xfId="0" applyFont="1" applyBorder="1" applyAlignment="1">
      <alignment horizontal="center"/>
    </xf>
    <xf numFmtId="0" fontId="7" fillId="0" borderId="32" xfId="0" applyFont="1" applyBorder="1" applyAlignment="1">
      <alignment horizontal="center"/>
    </xf>
    <xf numFmtId="166" fontId="32" fillId="0" borderId="33" xfId="0" applyNumberFormat="1" applyFont="1" applyBorder="1" applyAlignment="1">
      <alignment horizontal="center"/>
    </xf>
    <xf numFmtId="166" fontId="32" fillId="0" borderId="34" xfId="0" applyNumberFormat="1" applyFont="1" applyBorder="1" applyAlignment="1">
      <alignment horizontal="center"/>
    </xf>
    <xf numFmtId="165" fontId="0" fillId="4" borderId="41" xfId="0" applyNumberFormat="1" applyFill="1" applyBorder="1" applyAlignment="1">
      <alignment horizontal="center"/>
    </xf>
    <xf numFmtId="165" fontId="0" fillId="2" borderId="5" xfId="0" applyNumberFormat="1" applyFill="1" applyBorder="1" applyAlignment="1">
      <alignment horizontal="center"/>
    </xf>
    <xf numFmtId="0" fontId="8" fillId="0" borderId="29" xfId="0" applyFont="1" applyBorder="1" applyAlignment="1">
      <alignment horizontal="right" vertical="center"/>
    </xf>
    <xf numFmtId="164" fontId="8" fillId="0" borderId="30" xfId="0" applyNumberFormat="1" applyFont="1" applyBorder="1" applyAlignment="1">
      <alignment horizontal="left" vertical="center"/>
    </xf>
    <xf numFmtId="0" fontId="10" fillId="0" borderId="30" xfId="0" applyFont="1" applyBorder="1"/>
    <xf numFmtId="0" fontId="8" fillId="0" borderId="31" xfId="0" applyFont="1" applyBorder="1"/>
    <xf numFmtId="0" fontId="10" fillId="0" borderId="32" xfId="0" applyFont="1" applyBorder="1" applyAlignment="1">
      <alignment horizontal="right" vertical="center"/>
    </xf>
    <xf numFmtId="166" fontId="8" fillId="0" borderId="33" xfId="0" applyNumberFormat="1" applyFont="1" applyBorder="1" applyAlignment="1">
      <alignment horizontal="left" vertical="center"/>
    </xf>
    <xf numFmtId="0" fontId="10" fillId="0" borderId="33" xfId="0" applyFont="1" applyBorder="1"/>
    <xf numFmtId="0" fontId="8" fillId="0" borderId="34" xfId="0" applyFont="1" applyBorder="1"/>
    <xf numFmtId="0" fontId="10" fillId="0" borderId="29" xfId="0" applyFont="1" applyBorder="1" applyAlignment="1">
      <alignment horizontal="center"/>
    </xf>
    <xf numFmtId="0" fontId="8" fillId="0" borderId="30" xfId="0" applyFont="1" applyBorder="1" applyAlignment="1">
      <alignment horizontal="center"/>
    </xf>
    <xf numFmtId="0" fontId="10" fillId="0" borderId="30" xfId="0" applyFont="1" applyBorder="1" applyAlignment="1">
      <alignment horizontal="center"/>
    </xf>
    <xf numFmtId="0" fontId="8" fillId="0" borderId="31" xfId="0" applyFont="1" applyBorder="1" applyAlignment="1">
      <alignment horizontal="center"/>
    </xf>
    <xf numFmtId="166" fontId="0" fillId="0" borderId="34" xfId="0" applyNumberFormat="1" applyBorder="1" applyAlignment="1">
      <alignment horizontal="center"/>
    </xf>
    <xf numFmtId="0" fontId="0" fillId="2" borderId="1" xfId="0" applyFill="1" applyBorder="1"/>
    <xf numFmtId="0" fontId="34" fillId="0" borderId="0" xfId="0" applyFont="1" applyBorder="1" applyAlignment="1">
      <alignment horizontal="center"/>
    </xf>
    <xf numFmtId="0" fontId="33" fillId="2" borderId="13" xfId="0" applyFont="1" applyFill="1" applyBorder="1"/>
    <xf numFmtId="0" fontId="33" fillId="2" borderId="11" xfId="0" applyFont="1" applyFill="1" applyBorder="1"/>
    <xf numFmtId="0" fontId="33" fillId="2" borderId="12" xfId="0" applyFont="1" applyFill="1" applyBorder="1"/>
    <xf numFmtId="0" fontId="41" fillId="0" borderId="0" xfId="0" applyFont="1" applyBorder="1" applyAlignment="1">
      <alignment horizontal="left"/>
    </xf>
    <xf numFmtId="164" fontId="0" fillId="0" borderId="32" xfId="0" applyNumberFormat="1" applyBorder="1" applyAlignment="1">
      <alignment horizontal="center"/>
    </xf>
    <xf numFmtId="164" fontId="0" fillId="0" borderId="33" xfId="0" applyNumberFormat="1" applyBorder="1" applyAlignment="1">
      <alignment horizontal="center"/>
    </xf>
    <xf numFmtId="166" fontId="0" fillId="0" borderId="33" xfId="0" applyNumberFormat="1" applyBorder="1" applyAlignment="1">
      <alignment horizontal="center"/>
    </xf>
    <xf numFmtId="164" fontId="8" fillId="0" borderId="30" xfId="0" applyNumberFormat="1" applyFont="1" applyBorder="1" applyAlignment="1">
      <alignment horizontal="center" vertical="center"/>
    </xf>
    <xf numFmtId="164" fontId="8" fillId="0" borderId="33" xfId="0" applyNumberFormat="1" applyFont="1" applyBorder="1" applyAlignment="1">
      <alignment horizontal="center" vertical="center"/>
    </xf>
    <xf numFmtId="0" fontId="10" fillId="0" borderId="30" xfId="0" applyFont="1" applyBorder="1" applyAlignment="1">
      <alignment horizontal="left" vertical="center"/>
    </xf>
    <xf numFmtId="0" fontId="10" fillId="0" borderId="33" xfId="0" applyFont="1" applyBorder="1" applyAlignment="1">
      <alignment horizontal="left" vertical="center"/>
    </xf>
    <xf numFmtId="164" fontId="0" fillId="2" borderId="15" xfId="0" applyNumberFormat="1" applyFont="1" applyFill="1" applyBorder="1" applyAlignment="1">
      <alignment horizontal="center"/>
    </xf>
    <xf numFmtId="164" fontId="0" fillId="2" borderId="17" xfId="0" applyNumberFormat="1" applyFont="1" applyFill="1" applyBorder="1" applyAlignment="1">
      <alignment horizontal="center"/>
    </xf>
    <xf numFmtId="0" fontId="0" fillId="2" borderId="35" xfId="0" applyFill="1" applyBorder="1" applyAlignment="1">
      <alignment horizontal="center"/>
    </xf>
    <xf numFmtId="165" fontId="0" fillId="2" borderId="35" xfId="0" applyNumberFormat="1" applyFill="1" applyBorder="1" applyAlignment="1">
      <alignment horizontal="center"/>
    </xf>
    <xf numFmtId="0" fontId="0" fillId="2" borderId="38" xfId="0" applyFill="1" applyBorder="1" applyAlignment="1">
      <alignment horizontal="center"/>
    </xf>
    <xf numFmtId="0" fontId="0" fillId="2" borderId="43" xfId="0" applyFill="1" applyBorder="1" applyAlignment="1">
      <alignment horizontal="center"/>
    </xf>
    <xf numFmtId="0" fontId="0" fillId="2" borderId="36" xfId="0" applyFill="1" applyBorder="1" applyAlignment="1">
      <alignment horizontal="center"/>
    </xf>
    <xf numFmtId="0" fontId="0" fillId="2" borderId="40" xfId="0" applyFill="1" applyBorder="1" applyAlignment="1">
      <alignment horizontal="center"/>
    </xf>
    <xf numFmtId="0" fontId="31" fillId="0" borderId="0" xfId="0" applyFont="1"/>
    <xf numFmtId="165" fontId="0" fillId="2" borderId="38" xfId="0" applyNumberFormat="1" applyFill="1" applyBorder="1" applyAlignment="1">
      <alignment horizontal="center"/>
    </xf>
    <xf numFmtId="165" fontId="0" fillId="2" borderId="43" xfId="0" applyNumberFormat="1" applyFill="1" applyBorder="1" applyAlignment="1">
      <alignment horizontal="center"/>
    </xf>
    <xf numFmtId="165" fontId="0" fillId="2" borderId="36" xfId="0" applyNumberFormat="1" applyFill="1" applyBorder="1" applyAlignment="1">
      <alignment horizontal="center"/>
    </xf>
    <xf numFmtId="165" fontId="0" fillId="2" borderId="40" xfId="0" applyNumberFormat="1" applyFill="1" applyBorder="1" applyAlignment="1">
      <alignment horizontal="center"/>
    </xf>
    <xf numFmtId="1" fontId="0" fillId="4" borderId="35" xfId="0" applyNumberFormat="1" applyFill="1" applyBorder="1" applyAlignment="1">
      <alignment horizontal="center"/>
    </xf>
    <xf numFmtId="1" fontId="0" fillId="4" borderId="38" xfId="0" applyNumberFormat="1" applyFill="1" applyBorder="1" applyAlignment="1">
      <alignment horizontal="center"/>
    </xf>
    <xf numFmtId="166" fontId="0" fillId="4" borderId="5" xfId="0" applyNumberFormat="1" applyFill="1" applyBorder="1" applyAlignment="1">
      <alignment horizontal="center"/>
    </xf>
    <xf numFmtId="166" fontId="0" fillId="4" borderId="43" xfId="0" applyNumberFormat="1" applyFill="1" applyBorder="1" applyAlignment="1">
      <alignment horizontal="center"/>
    </xf>
    <xf numFmtId="165" fontId="0" fillId="4" borderId="5" xfId="0" applyNumberFormat="1" applyFill="1" applyBorder="1" applyAlignment="1">
      <alignment horizontal="center"/>
    </xf>
    <xf numFmtId="165" fontId="0" fillId="4" borderId="43" xfId="0" applyNumberFormat="1" applyFill="1" applyBorder="1" applyAlignment="1">
      <alignment horizontal="center"/>
    </xf>
    <xf numFmtId="0" fontId="0" fillId="4" borderId="36" xfId="0" applyFill="1" applyBorder="1" applyAlignment="1">
      <alignment horizontal="center"/>
    </xf>
    <xf numFmtId="0" fontId="33" fillId="2" borderId="5" xfId="0" applyFont="1" applyFill="1" applyBorder="1" applyAlignment="1">
      <alignment horizontal="left" vertical="center"/>
    </xf>
    <xf numFmtId="0" fontId="39" fillId="5" borderId="42" xfId="0" applyFont="1" applyFill="1" applyBorder="1" applyAlignment="1">
      <alignment horizontal="center"/>
    </xf>
    <xf numFmtId="0" fontId="39" fillId="5" borderId="43" xfId="0" applyFont="1" applyFill="1" applyBorder="1" applyAlignment="1">
      <alignment horizontal="center"/>
    </xf>
    <xf numFmtId="0" fontId="39" fillId="5" borderId="39" xfId="0" applyFont="1" applyFill="1" applyBorder="1" applyAlignment="1">
      <alignment horizontal="center"/>
    </xf>
    <xf numFmtId="0" fontId="39" fillId="5" borderId="40" xfId="0" applyFont="1" applyFill="1" applyBorder="1" applyAlignment="1">
      <alignment horizontal="center"/>
    </xf>
    <xf numFmtId="0" fontId="43" fillId="5" borderId="44" xfId="0" applyFont="1" applyFill="1" applyBorder="1" applyAlignment="1" applyProtection="1">
      <alignment horizontal="center" vertical="center" wrapText="1"/>
      <protection hidden="1"/>
    </xf>
    <xf numFmtId="166" fontId="0" fillId="5" borderId="45" xfId="0" applyNumberFormat="1" applyFont="1" applyFill="1" applyBorder="1" applyAlignment="1">
      <alignment horizontal="center"/>
    </xf>
    <xf numFmtId="166" fontId="0" fillId="5" borderId="2" xfId="0" applyNumberFormat="1" applyFont="1" applyFill="1" applyBorder="1" applyAlignment="1">
      <alignment horizontal="center"/>
    </xf>
    <xf numFmtId="166" fontId="0" fillId="5" borderId="46" xfId="0" applyNumberFormat="1" applyFont="1" applyFill="1" applyBorder="1" applyAlignment="1">
      <alignment horizontal="center"/>
    </xf>
    <xf numFmtId="166" fontId="44" fillId="5" borderId="45" xfId="0" applyNumberFormat="1" applyFont="1" applyFill="1" applyBorder="1" applyAlignment="1" applyProtection="1">
      <alignment horizontal="center"/>
      <protection hidden="1"/>
    </xf>
    <xf numFmtId="166" fontId="44" fillId="5" borderId="2" xfId="0" applyNumberFormat="1" applyFont="1" applyFill="1" applyBorder="1" applyAlignment="1" applyProtection="1">
      <alignment horizontal="center"/>
      <protection hidden="1"/>
    </xf>
    <xf numFmtId="166" fontId="44" fillId="5" borderId="46" xfId="0" applyNumberFormat="1" applyFont="1" applyFill="1" applyBorder="1" applyAlignment="1" applyProtection="1">
      <alignment horizontal="center"/>
      <protection hidden="1"/>
    </xf>
    <xf numFmtId="166" fontId="0" fillId="5" borderId="24" xfId="0" applyNumberFormat="1" applyFont="1" applyFill="1" applyBorder="1" applyAlignment="1">
      <alignment horizontal="center"/>
    </xf>
    <xf numFmtId="166" fontId="0" fillId="5" borderId="25" xfId="0" applyNumberFormat="1" applyFont="1" applyFill="1" applyBorder="1" applyAlignment="1">
      <alignment horizontal="center"/>
    </xf>
    <xf numFmtId="166" fontId="0" fillId="5" borderId="26" xfId="0" applyNumberFormat="1" applyFont="1" applyFill="1" applyBorder="1" applyAlignment="1">
      <alignment horizontal="center"/>
    </xf>
    <xf numFmtId="166" fontId="44" fillId="5" borderId="47" xfId="0" applyNumberFormat="1" applyFont="1" applyFill="1" applyBorder="1" applyAlignment="1" applyProtection="1">
      <alignment horizontal="center"/>
      <protection hidden="1"/>
    </xf>
    <xf numFmtId="166" fontId="44" fillId="5" borderId="11" xfId="0" applyNumberFormat="1" applyFont="1" applyFill="1" applyBorder="1" applyAlignment="1" applyProtection="1">
      <alignment horizontal="center"/>
      <protection hidden="1"/>
    </xf>
    <xf numFmtId="166" fontId="44" fillId="5" borderId="48" xfId="0" applyNumberFormat="1" applyFont="1" applyFill="1" applyBorder="1" applyAlignment="1" applyProtection="1">
      <alignment horizontal="center"/>
      <protection hidden="1"/>
    </xf>
    <xf numFmtId="166" fontId="44" fillId="5" borderId="27" xfId="0" applyNumberFormat="1" applyFont="1" applyFill="1" applyBorder="1" applyAlignment="1" applyProtection="1">
      <alignment horizontal="center"/>
      <protection hidden="1"/>
    </xf>
    <xf numFmtId="166" fontId="44" fillId="5" borderId="22" xfId="0" applyNumberFormat="1" applyFont="1" applyFill="1" applyBorder="1" applyAlignment="1" applyProtection="1">
      <alignment horizontal="center"/>
      <protection hidden="1"/>
    </xf>
    <xf numFmtId="166" fontId="44" fillId="5" borderId="23" xfId="0" applyNumberFormat="1" applyFont="1" applyFill="1" applyBorder="1" applyAlignment="1" applyProtection="1">
      <alignment horizontal="center"/>
      <protection hidden="1"/>
    </xf>
    <xf numFmtId="166" fontId="44" fillId="5" borderId="24" xfId="0" applyNumberFormat="1" applyFont="1" applyFill="1" applyBorder="1" applyAlignment="1" applyProtection="1">
      <alignment horizontal="center"/>
      <protection hidden="1"/>
    </xf>
    <xf numFmtId="166" fontId="44" fillId="5" borderId="25" xfId="0" applyNumberFormat="1" applyFont="1" applyFill="1" applyBorder="1" applyAlignment="1" applyProtection="1">
      <alignment horizontal="center"/>
      <protection hidden="1"/>
    </xf>
    <xf numFmtId="166" fontId="44" fillId="5" borderId="26" xfId="0" applyNumberFormat="1" applyFont="1" applyFill="1" applyBorder="1" applyAlignment="1" applyProtection="1">
      <alignment horizontal="center"/>
      <protection hidden="1"/>
    </xf>
    <xf numFmtId="0" fontId="39" fillId="5" borderId="49" xfId="0" applyFont="1" applyFill="1" applyBorder="1" applyAlignment="1">
      <alignment horizontal="center" vertical="center"/>
    </xf>
    <xf numFmtId="0" fontId="39" fillId="5" borderId="50" xfId="0" applyFont="1" applyFill="1" applyBorder="1" applyAlignment="1">
      <alignment horizontal="center" vertical="center"/>
    </xf>
    <xf numFmtId="0" fontId="39" fillId="5" borderId="51" xfId="0" applyFont="1" applyFill="1" applyBorder="1" applyAlignment="1">
      <alignment horizontal="center"/>
    </xf>
    <xf numFmtId="0" fontId="39" fillId="5" borderId="52" xfId="0" applyFont="1" applyFill="1" applyBorder="1" applyAlignment="1">
      <alignment horizontal="center"/>
    </xf>
    <xf numFmtId="166" fontId="0" fillId="5" borderId="53" xfId="0" applyNumberFormat="1" applyFont="1" applyFill="1" applyBorder="1" applyAlignment="1">
      <alignment horizontal="center"/>
    </xf>
    <xf numFmtId="166" fontId="0" fillId="5" borderId="1" xfId="0" applyNumberFormat="1" applyFont="1" applyFill="1" applyBorder="1" applyAlignment="1">
      <alignment horizontal="center"/>
    </xf>
    <xf numFmtId="166" fontId="0" fillId="5" borderId="54" xfId="0" applyNumberFormat="1" applyFont="1" applyFill="1" applyBorder="1" applyAlignment="1">
      <alignment horizontal="center"/>
    </xf>
    <xf numFmtId="166" fontId="44" fillId="5" borderId="53" xfId="0" applyNumberFormat="1" applyFont="1" applyFill="1" applyBorder="1" applyAlignment="1" applyProtection="1">
      <alignment horizontal="center"/>
      <protection hidden="1"/>
    </xf>
    <xf numFmtId="166" fontId="44" fillId="5" borderId="1" xfId="0" applyNumberFormat="1" applyFont="1" applyFill="1" applyBorder="1" applyAlignment="1" applyProtection="1">
      <alignment horizontal="center"/>
      <protection hidden="1"/>
    </xf>
    <xf numFmtId="166" fontId="44" fillId="5" borderId="54" xfId="0" applyNumberFormat="1" applyFont="1" applyFill="1" applyBorder="1" applyAlignment="1" applyProtection="1">
      <alignment horizontal="center"/>
      <protection hidden="1"/>
    </xf>
    <xf numFmtId="0" fontId="43" fillId="5" borderId="55" xfId="0" applyFont="1" applyFill="1" applyBorder="1" applyAlignment="1" applyProtection="1">
      <alignment horizontal="center" vertical="center" wrapText="1"/>
      <protection hidden="1"/>
    </xf>
    <xf numFmtId="0" fontId="32" fillId="5" borderId="33" xfId="0" applyFont="1" applyFill="1" applyBorder="1" applyAlignment="1">
      <alignment horizontal="center"/>
    </xf>
    <xf numFmtId="0" fontId="32" fillId="5" borderId="34" xfId="0" applyFont="1" applyFill="1" applyBorder="1" applyAlignment="1">
      <alignment horizontal="center"/>
    </xf>
    <xf numFmtId="0" fontId="33" fillId="5" borderId="56" xfId="0" applyFont="1" applyFill="1" applyBorder="1" applyAlignment="1">
      <alignment horizontal="center" vertical="center"/>
    </xf>
    <xf numFmtId="167" fontId="34" fillId="5" borderId="57" xfId="0" applyNumberFormat="1" applyFont="1" applyFill="1" applyBorder="1" applyAlignment="1">
      <alignment horizontal="center"/>
    </xf>
    <xf numFmtId="167" fontId="34" fillId="5" borderId="50" xfId="0" applyNumberFormat="1" applyFont="1" applyFill="1" applyBorder="1" applyAlignment="1">
      <alignment horizontal="center"/>
    </xf>
    <xf numFmtId="0" fontId="33" fillId="5" borderId="32" xfId="0" applyFont="1" applyFill="1" applyBorder="1" applyAlignment="1">
      <alignment horizontal="center" vertical="center"/>
    </xf>
    <xf numFmtId="167" fontId="34" fillId="5" borderId="49" xfId="0" applyNumberFormat="1" applyFont="1" applyFill="1" applyBorder="1" applyAlignment="1">
      <alignment horizontal="center"/>
    </xf>
    <xf numFmtId="0" fontId="33" fillId="5" borderId="29" xfId="0" applyFont="1" applyFill="1" applyBorder="1" applyAlignment="1">
      <alignment horizontal="center" vertical="center"/>
    </xf>
    <xf numFmtId="0" fontId="0" fillId="0" borderId="33" xfId="0" quotePrefix="1" applyBorder="1" applyAlignment="1">
      <alignment horizontal="center"/>
    </xf>
    <xf numFmtId="0" fontId="35" fillId="3" borderId="58" xfId="0" applyFont="1" applyFill="1" applyBorder="1" applyAlignment="1">
      <alignment horizontal="right" vertical="center"/>
    </xf>
    <xf numFmtId="0" fontId="34" fillId="3" borderId="58" xfId="0" applyFont="1" applyFill="1" applyBorder="1" applyAlignment="1">
      <alignment horizontal="left" vertical="center"/>
    </xf>
    <xf numFmtId="164" fontId="34" fillId="3" borderId="58" xfId="0" applyNumberFormat="1" applyFont="1" applyFill="1" applyBorder="1" applyAlignment="1">
      <alignment horizontal="center" vertical="center"/>
    </xf>
    <xf numFmtId="164" fontId="34" fillId="3" borderId="30" xfId="0" applyNumberFormat="1" applyFont="1" applyFill="1" applyBorder="1" applyAlignment="1">
      <alignment horizontal="center" vertical="center"/>
    </xf>
    <xf numFmtId="0" fontId="35" fillId="3" borderId="0" xfId="0" applyFont="1" applyFill="1" applyAlignment="1">
      <alignment horizontal="center" vertical="center"/>
    </xf>
    <xf numFmtId="0" fontId="35" fillId="5" borderId="44" xfId="0" applyFont="1" applyFill="1" applyBorder="1" applyAlignment="1">
      <alignment horizontal="center" vertical="center"/>
    </xf>
    <xf numFmtId="0" fontId="35" fillId="5" borderId="59" xfId="0" applyFont="1" applyFill="1" applyBorder="1" applyAlignment="1">
      <alignment horizontal="center" vertical="center"/>
    </xf>
    <xf numFmtId="0" fontId="35" fillId="5" borderId="60" xfId="0" applyFont="1" applyFill="1" applyBorder="1" applyAlignment="1">
      <alignment horizontal="center" vertical="center"/>
    </xf>
    <xf numFmtId="0" fontId="45" fillId="5" borderId="60" xfId="0" applyFont="1" applyFill="1" applyBorder="1" applyAlignment="1" applyProtection="1">
      <alignment vertical="center" wrapText="1"/>
      <protection hidden="1"/>
    </xf>
    <xf numFmtId="0" fontId="35" fillId="5" borderId="55" xfId="0" applyFont="1" applyFill="1" applyBorder="1" applyAlignment="1">
      <alignment horizontal="center" vertical="center"/>
    </xf>
    <xf numFmtId="0" fontId="21" fillId="5" borderId="61" xfId="0" applyFont="1" applyFill="1" applyBorder="1" applyAlignment="1" applyProtection="1">
      <alignment horizontal="center" vertical="center"/>
      <protection hidden="1"/>
    </xf>
    <xf numFmtId="0" fontId="34" fillId="5" borderId="0" xfId="0" applyFont="1" applyFill="1" applyAlignment="1">
      <alignment horizontal="center"/>
    </xf>
    <xf numFmtId="0" fontId="34" fillId="5" borderId="62" xfId="0" applyFont="1" applyFill="1" applyBorder="1" applyAlignment="1">
      <alignment horizontal="center"/>
    </xf>
    <xf numFmtId="0" fontId="34" fillId="5" borderId="8" xfId="0" applyFont="1" applyFill="1" applyBorder="1" applyAlignment="1">
      <alignment horizontal="center"/>
    </xf>
    <xf numFmtId="0" fontId="34" fillId="5" borderId="30" xfId="0" applyFont="1" applyFill="1" applyBorder="1" applyAlignment="1">
      <alignment horizontal="center"/>
    </xf>
    <xf numFmtId="0" fontId="34" fillId="5" borderId="63" xfId="0" applyFont="1" applyFill="1" applyBorder="1" applyAlignment="1">
      <alignment horizontal="center"/>
    </xf>
    <xf numFmtId="0" fontId="34" fillId="5" borderId="0" xfId="0" applyFont="1" applyFill="1" applyAlignment="1">
      <alignment horizontal="center" vertical="center"/>
    </xf>
    <xf numFmtId="10" fontId="34" fillId="5" borderId="63" xfId="0" applyNumberFormat="1" applyFont="1" applyFill="1" applyBorder="1" applyAlignment="1">
      <alignment horizontal="center"/>
    </xf>
    <xf numFmtId="10" fontId="34" fillId="5" borderId="30" xfId="0" applyNumberFormat="1" applyFont="1" applyFill="1" applyBorder="1" applyAlignment="1">
      <alignment horizontal="center"/>
    </xf>
    <xf numFmtId="10" fontId="34" fillId="5" borderId="31" xfId="0" applyNumberFormat="1" applyFont="1" applyFill="1" applyBorder="1" applyAlignment="1">
      <alignment horizontal="center"/>
    </xf>
    <xf numFmtId="0" fontId="21" fillId="5" borderId="50" xfId="0" applyFont="1" applyFill="1" applyBorder="1" applyAlignment="1" applyProtection="1">
      <alignment horizontal="center" vertical="center"/>
      <protection hidden="1"/>
    </xf>
    <xf numFmtId="0" fontId="34" fillId="5" borderId="7" xfId="0" applyFont="1" applyFill="1" applyBorder="1" applyAlignment="1">
      <alignment horizontal="center"/>
    </xf>
    <xf numFmtId="0" fontId="46" fillId="5" borderId="0" xfId="0" applyFont="1" applyFill="1" applyAlignment="1">
      <alignment horizontal="center"/>
    </xf>
    <xf numFmtId="0" fontId="46" fillId="5" borderId="8" xfId="0" applyFont="1" applyFill="1" applyBorder="1" applyAlignment="1">
      <alignment horizontal="center"/>
    </xf>
    <xf numFmtId="10" fontId="34" fillId="5" borderId="7" xfId="0" applyNumberFormat="1" applyFont="1" applyFill="1" applyBorder="1" applyAlignment="1">
      <alignment horizontal="center"/>
    </xf>
    <xf numFmtId="10" fontId="34" fillId="5" borderId="64" xfId="0" applyNumberFormat="1" applyFont="1" applyFill="1" applyBorder="1" applyAlignment="1">
      <alignment horizontal="center"/>
    </xf>
    <xf numFmtId="0" fontId="21" fillId="5" borderId="49" xfId="0" applyFont="1" applyFill="1" applyBorder="1" applyAlignment="1" applyProtection="1">
      <alignment horizontal="center" vertical="center"/>
      <protection hidden="1"/>
    </xf>
    <xf numFmtId="0" fontId="34" fillId="5" borderId="65" xfId="0" applyFont="1" applyFill="1" applyBorder="1" applyAlignment="1">
      <alignment horizontal="center"/>
    </xf>
    <xf numFmtId="0" fontId="34" fillId="5" borderId="33" xfId="0" applyFont="1" applyFill="1" applyBorder="1" applyAlignment="1">
      <alignment horizontal="center"/>
    </xf>
    <xf numFmtId="0" fontId="34" fillId="5" borderId="66" xfId="0" applyFont="1" applyFill="1" applyBorder="1" applyAlignment="1">
      <alignment horizontal="center"/>
    </xf>
    <xf numFmtId="10" fontId="34" fillId="5" borderId="66" xfId="0" applyNumberFormat="1" applyFont="1" applyFill="1" applyBorder="1" applyAlignment="1">
      <alignment horizontal="center"/>
    </xf>
    <xf numFmtId="10" fontId="34" fillId="5" borderId="33" xfId="0" applyNumberFormat="1" applyFont="1" applyFill="1" applyBorder="1" applyAlignment="1">
      <alignment horizontal="center"/>
    </xf>
    <xf numFmtId="10" fontId="34" fillId="5" borderId="34" xfId="0" applyNumberFormat="1" applyFont="1" applyFill="1" applyBorder="1" applyAlignment="1">
      <alignment horizontal="center"/>
    </xf>
    <xf numFmtId="0" fontId="0" fillId="5" borderId="0" xfId="0" applyFill="1"/>
    <xf numFmtId="0" fontId="34" fillId="5" borderId="0" xfId="0" applyFont="1" applyFill="1" applyAlignment="1">
      <alignment horizontal="left"/>
    </xf>
    <xf numFmtId="0" fontId="34" fillId="5" borderId="35" xfId="0" applyFont="1" applyFill="1" applyBorder="1" applyAlignment="1">
      <alignment horizontal="center"/>
    </xf>
    <xf numFmtId="0" fontId="34" fillId="5" borderId="67" xfId="0" applyFont="1" applyFill="1" applyBorder="1" applyAlignment="1">
      <alignment horizontal="center"/>
    </xf>
    <xf numFmtId="0" fontId="34" fillId="5" borderId="22" xfId="0" applyFont="1" applyFill="1" applyBorder="1" applyAlignment="1">
      <alignment horizontal="center"/>
    </xf>
    <xf numFmtId="0" fontId="34" fillId="5" borderId="23" xfId="0" applyFont="1" applyFill="1" applyBorder="1" applyAlignment="1">
      <alignment horizontal="center"/>
    </xf>
    <xf numFmtId="0" fontId="34" fillId="5" borderId="5" xfId="0" applyFont="1" applyFill="1" applyBorder="1" applyAlignment="1">
      <alignment horizontal="center"/>
    </xf>
    <xf numFmtId="0" fontId="34" fillId="5" borderId="4" xfId="0" applyFont="1" applyFill="1" applyBorder="1" applyAlignment="1">
      <alignment horizontal="center" vertical="center"/>
    </xf>
    <xf numFmtId="0" fontId="34" fillId="5" borderId="2" xfId="0" applyFont="1" applyFill="1" applyBorder="1" applyAlignment="1">
      <alignment horizontal="center" vertical="center"/>
    </xf>
    <xf numFmtId="0" fontId="34" fillId="5" borderId="36" xfId="0" applyFont="1" applyFill="1" applyBorder="1" applyAlignment="1">
      <alignment horizontal="center"/>
    </xf>
    <xf numFmtId="0" fontId="0" fillId="3" borderId="0" xfId="0" applyFill="1"/>
    <xf numFmtId="2" fontId="0" fillId="5" borderId="53" xfId="0" applyNumberFormat="1" applyFont="1" applyFill="1" applyBorder="1" applyAlignment="1">
      <alignment horizontal="center"/>
    </xf>
    <xf numFmtId="2" fontId="0" fillId="5" borderId="1" xfId="0" applyNumberFormat="1" applyFont="1" applyFill="1" applyBorder="1" applyAlignment="1">
      <alignment horizontal="center"/>
    </xf>
    <xf numFmtId="2" fontId="0" fillId="5" borderId="54" xfId="0" applyNumberFormat="1" applyFont="1" applyFill="1" applyBorder="1" applyAlignment="1">
      <alignment horizontal="center"/>
    </xf>
    <xf numFmtId="2" fontId="0" fillId="5" borderId="45" xfId="0" applyNumberFormat="1" applyFont="1" applyFill="1" applyBorder="1" applyAlignment="1">
      <alignment horizontal="center"/>
    </xf>
    <xf numFmtId="2" fontId="0" fillId="5" borderId="2" xfId="0" applyNumberFormat="1" applyFont="1" applyFill="1" applyBorder="1" applyAlignment="1">
      <alignment horizontal="center"/>
    </xf>
    <xf numFmtId="2" fontId="0" fillId="5" borderId="46" xfId="0" applyNumberFormat="1" applyFont="1" applyFill="1" applyBorder="1" applyAlignment="1">
      <alignment horizontal="center"/>
    </xf>
    <xf numFmtId="2" fontId="44" fillId="5" borderId="45" xfId="0" applyNumberFormat="1" applyFont="1" applyFill="1" applyBorder="1" applyAlignment="1" applyProtection="1">
      <alignment horizontal="center"/>
      <protection hidden="1"/>
    </xf>
    <xf numFmtId="2" fontId="44" fillId="5" borderId="2" xfId="0" applyNumberFormat="1" applyFont="1" applyFill="1" applyBorder="1" applyAlignment="1" applyProtection="1">
      <alignment horizontal="center"/>
      <protection hidden="1"/>
    </xf>
    <xf numFmtId="2" fontId="44" fillId="5" borderId="46" xfId="0" applyNumberFormat="1" applyFont="1" applyFill="1" applyBorder="1" applyAlignment="1" applyProtection="1">
      <alignment horizontal="center"/>
      <protection hidden="1"/>
    </xf>
    <xf numFmtId="2" fontId="0" fillId="5" borderId="24" xfId="0" applyNumberFormat="1" applyFont="1" applyFill="1" applyBorder="1" applyAlignment="1">
      <alignment horizontal="center"/>
    </xf>
    <xf numFmtId="2" fontId="0" fillId="5" borderId="25" xfId="0" applyNumberFormat="1" applyFont="1" applyFill="1" applyBorder="1" applyAlignment="1">
      <alignment horizontal="center"/>
    </xf>
    <xf numFmtId="2" fontId="0" fillId="5" borderId="26" xfId="0" applyNumberFormat="1" applyFont="1" applyFill="1" applyBorder="1" applyAlignment="1">
      <alignment horizontal="center"/>
    </xf>
    <xf numFmtId="2" fontId="44" fillId="5" borderId="27" xfId="0" applyNumberFormat="1" applyFont="1" applyFill="1" applyBorder="1" applyAlignment="1" applyProtection="1">
      <alignment horizontal="center"/>
      <protection hidden="1"/>
    </xf>
    <xf numFmtId="2" fontId="44" fillId="5" borderId="22" xfId="0" applyNumberFormat="1" applyFont="1" applyFill="1" applyBorder="1" applyAlignment="1" applyProtection="1">
      <alignment horizontal="center"/>
      <protection hidden="1"/>
    </xf>
    <xf numFmtId="2" fontId="44" fillId="5" borderId="23" xfId="0" applyNumberFormat="1" applyFont="1" applyFill="1" applyBorder="1" applyAlignment="1" applyProtection="1">
      <alignment horizontal="center"/>
      <protection hidden="1"/>
    </xf>
    <xf numFmtId="2" fontId="44" fillId="5" borderId="24" xfId="0" applyNumberFormat="1" applyFont="1" applyFill="1" applyBorder="1" applyAlignment="1" applyProtection="1">
      <alignment horizontal="center"/>
      <protection hidden="1"/>
    </xf>
    <xf numFmtId="2" fontId="44" fillId="5" borderId="25" xfId="0" applyNumberFormat="1" applyFont="1" applyFill="1" applyBorder="1" applyAlignment="1" applyProtection="1">
      <alignment horizontal="center"/>
      <protection hidden="1"/>
    </xf>
    <xf numFmtId="2" fontId="44" fillId="5" borderId="26" xfId="0" applyNumberFormat="1" applyFont="1" applyFill="1" applyBorder="1" applyAlignment="1" applyProtection="1">
      <alignment horizontal="center"/>
      <protection hidden="1"/>
    </xf>
    <xf numFmtId="0" fontId="39" fillId="5" borderId="57" xfId="0" applyFont="1" applyFill="1" applyBorder="1" applyAlignment="1">
      <alignment horizontal="center" vertical="center"/>
    </xf>
    <xf numFmtId="0" fontId="43" fillId="5" borderId="57" xfId="0" applyFont="1" applyFill="1" applyBorder="1" applyAlignment="1" applyProtection="1">
      <alignment horizontal="center" vertical="center" wrapText="1"/>
      <protection hidden="1"/>
    </xf>
    <xf numFmtId="0" fontId="47" fillId="5" borderId="49" xfId="0" applyFont="1" applyFill="1" applyBorder="1" applyAlignment="1">
      <alignment horizontal="center" vertical="center"/>
    </xf>
    <xf numFmtId="0" fontId="35" fillId="6" borderId="69" xfId="0" applyFont="1" applyFill="1" applyBorder="1" applyAlignment="1">
      <alignment horizontal="right" vertical="center"/>
    </xf>
    <xf numFmtId="0" fontId="35" fillId="6" borderId="58" xfId="0" applyFont="1" applyFill="1" applyBorder="1" applyAlignment="1">
      <alignment horizontal="right" vertical="center"/>
    </xf>
    <xf numFmtId="0" fontId="34" fillId="6" borderId="58" xfId="0" applyFont="1" applyFill="1" applyBorder="1" applyAlignment="1">
      <alignment horizontal="left" vertical="center"/>
    </xf>
    <xf numFmtId="166" fontId="34" fillId="6" borderId="58" xfId="0" applyNumberFormat="1" applyFont="1" applyFill="1" applyBorder="1" applyAlignment="1">
      <alignment horizontal="center" vertical="center"/>
    </xf>
    <xf numFmtId="0" fontId="35" fillId="6" borderId="58" xfId="0" applyNumberFormat="1" applyFont="1" applyFill="1" applyBorder="1" applyAlignment="1">
      <alignment vertical="center"/>
    </xf>
    <xf numFmtId="0" fontId="35" fillId="6" borderId="58" xfId="0" applyNumberFormat="1" applyFont="1" applyFill="1" applyBorder="1" applyAlignment="1">
      <alignment horizontal="left" vertical="center"/>
    </xf>
    <xf numFmtId="0" fontId="34" fillId="5" borderId="0" xfId="0" applyFont="1" applyFill="1" applyBorder="1" applyAlignment="1">
      <alignment horizontal="center"/>
    </xf>
    <xf numFmtId="0" fontId="35" fillId="5" borderId="32" xfId="0" applyFont="1" applyFill="1" applyBorder="1" applyAlignment="1">
      <alignment horizontal="center" vertical="center" wrapText="1"/>
    </xf>
    <xf numFmtId="0" fontId="35" fillId="5" borderId="33" xfId="0" applyFont="1" applyFill="1" applyBorder="1" applyAlignment="1">
      <alignment horizontal="center" vertical="center" wrapText="1"/>
    </xf>
    <xf numFmtId="0" fontId="35" fillId="5" borderId="34" xfId="0" applyFont="1" applyFill="1" applyBorder="1" applyAlignment="1">
      <alignment horizontal="center" vertical="center" wrapText="1"/>
    </xf>
    <xf numFmtId="0" fontId="48" fillId="0" borderId="0" xfId="0" applyFont="1"/>
    <xf numFmtId="0" fontId="0" fillId="4" borderId="40" xfId="0" applyFill="1" applyBorder="1" applyAlignment="1">
      <alignment horizontal="center"/>
    </xf>
    <xf numFmtId="0" fontId="35" fillId="0" borderId="37" xfId="0" applyFont="1" applyBorder="1" applyAlignment="1">
      <alignment horizontal="left" vertical="center" wrapText="1"/>
    </xf>
    <xf numFmtId="0" fontId="35" fillId="0" borderId="42" xfId="0" applyFont="1" applyBorder="1" applyAlignment="1">
      <alignment horizontal="left"/>
    </xf>
    <xf numFmtId="0" fontId="35" fillId="0" borderId="42" xfId="0" applyFont="1" applyFill="1" applyBorder="1" applyAlignment="1">
      <alignment horizontal="left"/>
    </xf>
    <xf numFmtId="0" fontId="35" fillId="0" borderId="39" xfId="0" applyFont="1" applyBorder="1" applyAlignment="1">
      <alignment horizontal="left"/>
    </xf>
    <xf numFmtId="10" fontId="34" fillId="5" borderId="0" xfId="0" applyNumberFormat="1" applyFont="1" applyFill="1" applyBorder="1" applyAlignment="1">
      <alignment horizontal="center"/>
    </xf>
    <xf numFmtId="0" fontId="21" fillId="5" borderId="57" xfId="0" applyFont="1" applyFill="1" applyBorder="1" applyAlignment="1" applyProtection="1">
      <alignment horizontal="center" vertical="center"/>
      <protection hidden="1"/>
    </xf>
    <xf numFmtId="0" fontId="21" fillId="5" borderId="70" xfId="0" applyFont="1" applyFill="1" applyBorder="1" applyAlignment="1" applyProtection="1">
      <alignment horizontal="center" vertical="center"/>
      <protection hidden="1"/>
    </xf>
    <xf numFmtId="0" fontId="46" fillId="5" borderId="0" xfId="0" applyFont="1" applyFill="1" applyBorder="1" applyAlignment="1">
      <alignment horizontal="center"/>
    </xf>
    <xf numFmtId="0" fontId="34" fillId="3" borderId="33" xfId="0" applyFont="1" applyFill="1" applyBorder="1" applyAlignment="1">
      <alignment vertical="center"/>
    </xf>
    <xf numFmtId="0" fontId="35" fillId="6" borderId="58" xfId="0" applyFont="1" applyFill="1" applyBorder="1" applyAlignment="1">
      <alignment vertical="center"/>
    </xf>
    <xf numFmtId="0" fontId="35" fillId="6" borderId="59" xfId="0" applyNumberFormat="1" applyFont="1" applyFill="1" applyBorder="1" applyAlignment="1">
      <alignment vertical="center"/>
    </xf>
    <xf numFmtId="2" fontId="0" fillId="5" borderId="27" xfId="0" applyNumberFormat="1" applyFont="1" applyFill="1" applyBorder="1" applyAlignment="1">
      <alignment horizontal="center"/>
    </xf>
    <xf numFmtId="2" fontId="0" fillId="5" borderId="22" xfId="0" applyNumberFormat="1" applyFont="1" applyFill="1" applyBorder="1" applyAlignment="1">
      <alignment horizontal="center"/>
    </xf>
    <xf numFmtId="2" fontId="0" fillId="5" borderId="23" xfId="0" applyNumberFormat="1" applyFont="1" applyFill="1" applyBorder="1" applyAlignment="1">
      <alignment horizontal="center"/>
    </xf>
    <xf numFmtId="0" fontId="33" fillId="5" borderId="44" xfId="0" applyFont="1" applyFill="1" applyBorder="1" applyAlignment="1">
      <alignment horizontal="center" vertical="center"/>
    </xf>
    <xf numFmtId="167" fontId="34" fillId="5" borderId="61" xfId="0" applyNumberFormat="1" applyFont="1" applyFill="1" applyBorder="1" applyAlignment="1">
      <alignment horizontal="center"/>
    </xf>
    <xf numFmtId="0" fontId="39" fillId="5" borderId="37" xfId="0" applyFont="1" applyFill="1" applyBorder="1" applyAlignment="1">
      <alignment horizontal="center"/>
    </xf>
    <xf numFmtId="0" fontId="39" fillId="5" borderId="38" xfId="0" applyFont="1" applyFill="1" applyBorder="1" applyAlignment="1">
      <alignment horizontal="center"/>
    </xf>
    <xf numFmtId="166" fontId="0" fillId="5" borderId="27" xfId="0" applyNumberFormat="1" applyFont="1" applyFill="1" applyBorder="1" applyAlignment="1">
      <alignment horizontal="center"/>
    </xf>
    <xf numFmtId="166" fontId="0" fillId="5" borderId="22" xfId="0" applyNumberFormat="1" applyFont="1" applyFill="1" applyBorder="1" applyAlignment="1">
      <alignment horizontal="center"/>
    </xf>
    <xf numFmtId="166" fontId="0" fillId="5" borderId="23" xfId="0" applyNumberFormat="1" applyFont="1" applyFill="1" applyBorder="1" applyAlignment="1">
      <alignment horizontal="center"/>
    </xf>
    <xf numFmtId="2" fontId="31" fillId="5" borderId="24" xfId="0" applyNumberFormat="1" applyFont="1" applyFill="1" applyBorder="1" applyAlignment="1" applyProtection="1">
      <alignment horizontal="center"/>
      <protection hidden="1"/>
    </xf>
    <xf numFmtId="165" fontId="0" fillId="5" borderId="27" xfId="0" applyNumberFormat="1" applyFont="1" applyFill="1" applyBorder="1" applyAlignment="1">
      <alignment horizontal="center"/>
    </xf>
    <xf numFmtId="165" fontId="0" fillId="5" borderId="22" xfId="0" applyNumberFormat="1" applyFont="1" applyFill="1" applyBorder="1" applyAlignment="1">
      <alignment horizontal="center"/>
    </xf>
    <xf numFmtId="165" fontId="0" fillId="5" borderId="23" xfId="0" applyNumberFormat="1" applyFont="1" applyFill="1" applyBorder="1" applyAlignment="1">
      <alignment horizontal="center"/>
    </xf>
    <xf numFmtId="165" fontId="0" fillId="5" borderId="45" xfId="0" applyNumberFormat="1" applyFont="1" applyFill="1" applyBorder="1" applyAlignment="1">
      <alignment horizontal="center"/>
    </xf>
    <xf numFmtId="165" fontId="0" fillId="5" borderId="2" xfId="0" applyNumberFormat="1" applyFont="1" applyFill="1" applyBorder="1" applyAlignment="1">
      <alignment horizontal="center"/>
    </xf>
    <xf numFmtId="165" fontId="0" fillId="5" borderId="46" xfId="0" applyNumberFormat="1" applyFont="1" applyFill="1" applyBorder="1" applyAlignment="1">
      <alignment horizontal="center"/>
    </xf>
    <xf numFmtId="165" fontId="0" fillId="5" borderId="24" xfId="0" applyNumberFormat="1" applyFont="1" applyFill="1" applyBorder="1" applyAlignment="1">
      <alignment horizontal="center"/>
    </xf>
    <xf numFmtId="165" fontId="0" fillId="5" borderId="25" xfId="0" applyNumberFormat="1" applyFont="1" applyFill="1" applyBorder="1" applyAlignment="1">
      <alignment horizontal="center"/>
    </xf>
    <xf numFmtId="165" fontId="0" fillId="5" borderId="26" xfId="0" applyNumberFormat="1" applyFont="1" applyFill="1" applyBorder="1" applyAlignment="1">
      <alignment horizontal="center"/>
    </xf>
    <xf numFmtId="165" fontId="44" fillId="5" borderId="27" xfId="0" applyNumberFormat="1" applyFont="1" applyFill="1" applyBorder="1" applyAlignment="1" applyProtection="1">
      <alignment horizontal="center"/>
      <protection hidden="1"/>
    </xf>
    <xf numFmtId="165" fontId="44" fillId="5" borderId="22" xfId="0" applyNumberFormat="1" applyFont="1" applyFill="1" applyBorder="1" applyAlignment="1" applyProtection="1">
      <alignment horizontal="center"/>
      <protection hidden="1"/>
    </xf>
    <xf numFmtId="165" fontId="44" fillId="5" borderId="23" xfId="0" applyNumberFormat="1" applyFont="1" applyFill="1" applyBorder="1" applyAlignment="1" applyProtection="1">
      <alignment horizontal="center"/>
      <protection hidden="1"/>
    </xf>
    <xf numFmtId="165" fontId="44" fillId="5" borderId="45" xfId="0" applyNumberFormat="1" applyFont="1" applyFill="1" applyBorder="1" applyAlignment="1" applyProtection="1">
      <alignment horizontal="center"/>
      <protection hidden="1"/>
    </xf>
    <xf numFmtId="165" fontId="44" fillId="5" borderId="2" xfId="0" applyNumberFormat="1" applyFont="1" applyFill="1" applyBorder="1" applyAlignment="1" applyProtection="1">
      <alignment horizontal="center"/>
      <protection hidden="1"/>
    </xf>
    <xf numFmtId="165" fontId="44" fillId="5" borderId="46" xfId="0" applyNumberFormat="1" applyFont="1" applyFill="1" applyBorder="1" applyAlignment="1" applyProtection="1">
      <alignment horizontal="center"/>
      <protection hidden="1"/>
    </xf>
    <xf numFmtId="165" fontId="44" fillId="5" borderId="24" xfId="0" applyNumberFormat="1" applyFont="1" applyFill="1" applyBorder="1" applyAlignment="1" applyProtection="1">
      <alignment horizontal="center"/>
      <protection hidden="1"/>
    </xf>
    <xf numFmtId="165" fontId="44" fillId="5" borderId="25" xfId="0" applyNumberFormat="1" applyFont="1" applyFill="1" applyBorder="1" applyAlignment="1" applyProtection="1">
      <alignment horizontal="center"/>
      <protection hidden="1"/>
    </xf>
    <xf numFmtId="165" fontId="44" fillId="5" borderId="26" xfId="0" applyNumberFormat="1" applyFont="1" applyFill="1" applyBorder="1" applyAlignment="1" applyProtection="1">
      <alignment horizontal="center"/>
      <protection hidden="1"/>
    </xf>
    <xf numFmtId="0" fontId="33" fillId="5" borderId="44" xfId="0" applyFont="1" applyFill="1" applyBorder="1" applyAlignment="1">
      <alignment horizontal="center" vertical="center"/>
    </xf>
    <xf numFmtId="0" fontId="0" fillId="0" borderId="0" xfId="0" applyAlignment="1">
      <alignment vertical="top"/>
    </xf>
    <xf numFmtId="0" fontId="48" fillId="0" borderId="0" xfId="0" applyFont="1" applyAlignment="1">
      <alignment vertical="top"/>
    </xf>
    <xf numFmtId="0" fontId="1" fillId="0" borderId="0" xfId="1" applyFont="1" applyAlignment="1" applyProtection="1">
      <alignment vertical="center"/>
      <protection hidden="1"/>
    </xf>
    <xf numFmtId="0" fontId="53" fillId="0" borderId="0" xfId="1" applyFont="1" applyAlignment="1" applyProtection="1">
      <alignment horizontal="center" vertical="top" wrapText="1"/>
      <protection hidden="1"/>
    </xf>
    <xf numFmtId="0" fontId="53" fillId="0" borderId="0" xfId="1" applyFont="1" applyAlignment="1" applyProtection="1">
      <alignment vertical="top" wrapText="1"/>
      <protection hidden="1"/>
    </xf>
    <xf numFmtId="0" fontId="5" fillId="0" borderId="0" xfId="1" applyProtection="1">
      <protection hidden="1"/>
    </xf>
    <xf numFmtId="0" fontId="0" fillId="0" borderId="0" xfId="0" applyProtection="1">
      <protection hidden="1"/>
    </xf>
    <xf numFmtId="0" fontId="5" fillId="0" borderId="0" xfId="1" applyAlignment="1" applyProtection="1">
      <alignment vertical="center"/>
      <protection hidden="1"/>
    </xf>
    <xf numFmtId="0" fontId="1" fillId="0" borderId="0" xfId="1" applyFont="1" applyAlignment="1" applyProtection="1">
      <alignment horizontal="left" vertical="center"/>
      <protection hidden="1"/>
    </xf>
    <xf numFmtId="0" fontId="21" fillId="0" borderId="0" xfId="1" applyFont="1" applyAlignment="1" applyProtection="1">
      <alignment horizontal="center" vertical="center"/>
      <protection hidden="1"/>
    </xf>
    <xf numFmtId="0" fontId="0" fillId="0" borderId="0" xfId="0" applyAlignment="1" applyProtection="1">
      <alignment vertical="center"/>
      <protection hidden="1"/>
    </xf>
    <xf numFmtId="0" fontId="60" fillId="0" borderId="0" xfId="1" applyFont="1" applyAlignment="1" applyProtection="1">
      <alignment horizontal="left" vertical="center"/>
      <protection hidden="1"/>
    </xf>
    <xf numFmtId="0" fontId="60" fillId="0" borderId="0" xfId="1" applyFont="1" applyAlignment="1" applyProtection="1">
      <alignment vertical="center"/>
      <protection hidden="1"/>
    </xf>
    <xf numFmtId="0" fontId="61" fillId="0" borderId="0" xfId="1" applyFont="1" applyAlignment="1" applyProtection="1">
      <alignment vertical="center"/>
      <protection hidden="1"/>
    </xf>
    <xf numFmtId="0" fontId="62" fillId="0" borderId="0" xfId="1" applyFont="1" applyAlignment="1" applyProtection="1">
      <alignment vertical="center"/>
      <protection hidden="1"/>
    </xf>
    <xf numFmtId="0" fontId="62" fillId="0" borderId="0" xfId="1" applyFont="1" applyAlignment="1" applyProtection="1">
      <alignment horizontal="left" vertical="center"/>
      <protection hidden="1"/>
    </xf>
    <xf numFmtId="0" fontId="63" fillId="0" borderId="0" xfId="1" applyFont="1" applyAlignment="1" applyProtection="1">
      <alignment vertical="center"/>
      <protection hidden="1"/>
    </xf>
    <xf numFmtId="0" fontId="64" fillId="0" borderId="0" xfId="1" applyFont="1" applyAlignment="1" applyProtection="1">
      <alignment horizontal="center" vertical="center"/>
      <protection hidden="1"/>
    </xf>
    <xf numFmtId="0" fontId="65" fillId="0" borderId="0" xfId="1" applyFont="1" applyAlignment="1" applyProtection="1">
      <alignment horizontal="left" vertical="center"/>
      <protection hidden="1"/>
    </xf>
    <xf numFmtId="0" fontId="66" fillId="0" borderId="0" xfId="1" applyFont="1" applyAlignment="1" applyProtection="1">
      <alignment horizontal="center" vertical="center"/>
      <protection hidden="1"/>
    </xf>
    <xf numFmtId="0" fontId="67" fillId="0" borderId="0" xfId="1" applyFont="1" applyAlignment="1" applyProtection="1">
      <alignment horizontal="left" vertical="center"/>
      <protection hidden="1"/>
    </xf>
    <xf numFmtId="0" fontId="68" fillId="0" borderId="0" xfId="1" applyFont="1" applyAlignment="1" applyProtection="1">
      <alignment horizontal="center" vertical="center"/>
      <protection hidden="1"/>
    </xf>
    <xf numFmtId="0" fontId="69" fillId="3" borderId="0" xfId="0" applyFont="1" applyFill="1" applyAlignment="1" applyProtection="1">
      <alignment vertical="top"/>
      <protection hidden="1"/>
    </xf>
    <xf numFmtId="0" fontId="70" fillId="0" borderId="0" xfId="1" applyFont="1" applyAlignment="1" applyProtection="1">
      <alignment horizontal="left" vertical="center"/>
      <protection hidden="1"/>
    </xf>
    <xf numFmtId="0" fontId="71" fillId="0" borderId="0" xfId="1" applyFont="1" applyAlignment="1" applyProtection="1">
      <alignment horizontal="center" vertical="center"/>
      <protection hidden="1"/>
    </xf>
    <xf numFmtId="0" fontId="72" fillId="0" borderId="0" xfId="1" applyFont="1" applyAlignment="1" applyProtection="1">
      <alignment horizontal="center"/>
      <protection hidden="1"/>
    </xf>
    <xf numFmtId="0" fontId="8" fillId="0" borderId="0" xfId="1" applyFont="1" applyAlignment="1" applyProtection="1">
      <alignment horizontal="left" vertical="center"/>
      <protection hidden="1"/>
    </xf>
    <xf numFmtId="0" fontId="63" fillId="0" borderId="0" xfId="1" applyFont="1" applyAlignment="1" applyProtection="1">
      <alignment horizontal="left" vertical="center"/>
      <protection hidden="1"/>
    </xf>
    <xf numFmtId="0" fontId="63" fillId="0" borderId="0" xfId="1" applyFont="1" applyAlignment="1" applyProtection="1">
      <alignment horizontal="right" vertical="center"/>
      <protection hidden="1"/>
    </xf>
    <xf numFmtId="0" fontId="8" fillId="0" borderId="0" xfId="1" applyFont="1" applyAlignment="1" applyProtection="1">
      <alignment vertical="center"/>
      <protection hidden="1"/>
    </xf>
    <xf numFmtId="170" fontId="1" fillId="0" borderId="0" xfId="1" applyNumberFormat="1" applyFont="1" applyAlignment="1" applyProtection="1">
      <alignment horizontal="center"/>
      <protection hidden="1"/>
    </xf>
    <xf numFmtId="170" fontId="63" fillId="0" borderId="0" xfId="1" applyNumberFormat="1" applyFont="1" applyAlignment="1" applyProtection="1">
      <alignment horizontal="right"/>
      <protection hidden="1"/>
    </xf>
    <xf numFmtId="0" fontId="63" fillId="0" borderId="0" xfId="1" applyFont="1" applyAlignment="1" applyProtection="1">
      <alignment horizontal="left"/>
      <protection hidden="1"/>
    </xf>
    <xf numFmtId="14" fontId="1" fillId="0" borderId="0" xfId="1" applyNumberFormat="1" applyFont="1" applyAlignment="1" applyProtection="1">
      <alignment horizontal="center"/>
      <protection hidden="1"/>
    </xf>
    <xf numFmtId="0" fontId="5" fillId="0" borderId="0" xfId="1" applyAlignment="1" applyProtection="1">
      <alignment horizontal="center"/>
      <protection hidden="1"/>
    </xf>
    <xf numFmtId="0" fontId="75" fillId="0" borderId="0" xfId="1" applyFont="1" applyAlignment="1" applyProtection="1">
      <alignment horizontal="center"/>
      <protection hidden="1"/>
    </xf>
    <xf numFmtId="0" fontId="74" fillId="0" borderId="0" xfId="1" applyFont="1" applyAlignment="1" applyProtection="1">
      <alignment horizontal="center"/>
      <protection hidden="1"/>
    </xf>
    <xf numFmtId="0" fontId="5" fillId="0" borderId="30" xfId="1" applyBorder="1" applyAlignment="1" applyProtection="1">
      <alignment vertical="center"/>
      <protection hidden="1"/>
    </xf>
    <xf numFmtId="0" fontId="76" fillId="0" borderId="30" xfId="1" applyFont="1" applyBorder="1" applyAlignment="1" applyProtection="1">
      <alignment vertical="top"/>
      <protection hidden="1"/>
    </xf>
    <xf numFmtId="0" fontId="5" fillId="0" borderId="31" xfId="1" applyBorder="1" applyAlignment="1" applyProtection="1">
      <alignment vertical="center"/>
      <protection hidden="1"/>
    </xf>
    <xf numFmtId="0" fontId="5" fillId="0" borderId="0" xfId="1" applyAlignment="1" applyProtection="1">
      <alignment horizontal="center" vertical="center"/>
      <protection hidden="1"/>
    </xf>
    <xf numFmtId="0" fontId="75" fillId="0" borderId="0" xfId="1" applyFont="1" applyAlignment="1" applyProtection="1">
      <alignment horizontal="center" vertical="center"/>
      <protection hidden="1"/>
    </xf>
    <xf numFmtId="0" fontId="5" fillId="0" borderId="64" xfId="1" applyBorder="1" applyAlignment="1" applyProtection="1">
      <alignment vertical="center"/>
      <protection hidden="1"/>
    </xf>
    <xf numFmtId="0" fontId="76" fillId="0" borderId="0" xfId="1" applyFont="1" applyAlignment="1" applyProtection="1">
      <alignment vertical="center"/>
      <protection hidden="1"/>
    </xf>
    <xf numFmtId="0" fontId="76" fillId="0" borderId="64" xfId="1" applyFont="1" applyBorder="1" applyAlignment="1" applyProtection="1">
      <alignment vertical="center"/>
      <protection hidden="1"/>
    </xf>
    <xf numFmtId="0" fontId="63" fillId="0" borderId="0" xfId="1" applyFont="1" applyAlignment="1" applyProtection="1">
      <alignment horizontal="center" vertical="center"/>
      <protection hidden="1"/>
    </xf>
    <xf numFmtId="0" fontId="1" fillId="0" borderId="0" xfId="1" applyFont="1" applyAlignment="1" applyProtection="1">
      <alignment horizontal="center" vertical="center"/>
      <protection hidden="1"/>
    </xf>
    <xf numFmtId="168" fontId="1" fillId="0" borderId="0" xfId="1" applyNumberFormat="1" applyFont="1" applyAlignment="1" applyProtection="1">
      <alignment horizontal="center" vertical="center"/>
      <protection hidden="1"/>
    </xf>
    <xf numFmtId="0" fontId="0" fillId="0" borderId="0" xfId="0" applyAlignment="1" applyProtection="1">
      <alignment horizontal="center" vertical="center"/>
      <protection hidden="1"/>
    </xf>
    <xf numFmtId="0" fontId="32" fillId="0" borderId="0" xfId="0" applyFont="1" applyAlignment="1" applyProtection="1">
      <alignment horizontal="left"/>
      <protection hidden="1"/>
    </xf>
    <xf numFmtId="0" fontId="32" fillId="0" borderId="0" xfId="0" applyFont="1" applyAlignment="1" applyProtection="1">
      <alignment horizontal="center"/>
      <protection hidden="1"/>
    </xf>
    <xf numFmtId="0" fontId="32" fillId="0" borderId="64" xfId="0" applyFont="1" applyBorder="1" applyAlignment="1" applyProtection="1">
      <alignment horizontal="left"/>
      <protection hidden="1"/>
    </xf>
    <xf numFmtId="0" fontId="77" fillId="0" borderId="0" xfId="1" applyFont="1" applyAlignment="1" applyProtection="1">
      <alignment vertical="center"/>
      <protection hidden="1"/>
    </xf>
    <xf numFmtId="0" fontId="1" fillId="0" borderId="33" xfId="1" applyFont="1" applyBorder="1" applyAlignment="1" applyProtection="1">
      <alignment horizontal="center" vertical="center"/>
      <protection hidden="1"/>
    </xf>
    <xf numFmtId="0" fontId="0" fillId="0" borderId="33" xfId="0" applyBorder="1" applyAlignment="1" applyProtection="1">
      <alignment horizontal="center"/>
      <protection hidden="1"/>
    </xf>
    <xf numFmtId="0" fontId="0" fillId="0" borderId="34" xfId="0" applyBorder="1" applyAlignment="1" applyProtection="1">
      <alignment horizontal="center"/>
      <protection hidden="1"/>
    </xf>
    <xf numFmtId="0" fontId="78" fillId="0" borderId="0" xfId="1" applyFont="1" applyAlignment="1" applyProtection="1">
      <alignment horizontal="center" vertical="center"/>
      <protection hidden="1"/>
    </xf>
    <xf numFmtId="0" fontId="76" fillId="0" borderId="0" xfId="1" applyFont="1" applyAlignment="1" applyProtection="1">
      <alignment horizontal="left" vertical="center"/>
      <protection hidden="1"/>
    </xf>
    <xf numFmtId="0" fontId="67" fillId="0" borderId="0" xfId="0" applyFont="1" applyProtection="1">
      <protection hidden="1"/>
    </xf>
    <xf numFmtId="0" fontId="74" fillId="0" borderId="29" xfId="0" applyFont="1" applyBorder="1" applyAlignment="1" applyProtection="1">
      <alignment horizontal="center"/>
      <protection hidden="1"/>
    </xf>
    <xf numFmtId="0" fontId="74" fillId="0" borderId="30" xfId="0" applyFont="1" applyBorder="1" applyAlignment="1" applyProtection="1">
      <alignment horizontal="center"/>
      <protection hidden="1"/>
    </xf>
    <xf numFmtId="0" fontId="74" fillId="0" borderId="31" xfId="0" applyFont="1" applyBorder="1" applyAlignment="1" applyProtection="1">
      <alignment horizontal="center"/>
      <protection hidden="1"/>
    </xf>
    <xf numFmtId="0" fontId="74" fillId="0" borderId="56" xfId="0" applyFont="1" applyBorder="1" applyAlignment="1" applyProtection="1">
      <alignment horizontal="center" vertical="center"/>
      <protection hidden="1"/>
    </xf>
    <xf numFmtId="0" fontId="63" fillId="0" borderId="0" xfId="0" applyFont="1" applyAlignment="1" applyProtection="1">
      <alignment vertical="center"/>
      <protection hidden="1"/>
    </xf>
    <xf numFmtId="0" fontId="67" fillId="0" borderId="0" xfId="0" applyFont="1" applyAlignment="1" applyProtection="1">
      <alignment vertical="center"/>
      <protection hidden="1"/>
    </xf>
    <xf numFmtId="0" fontId="74" fillId="0" borderId="64" xfId="0" applyFont="1" applyBorder="1" applyAlignment="1" applyProtection="1">
      <alignment horizontal="center" vertical="center"/>
      <protection hidden="1"/>
    </xf>
    <xf numFmtId="0" fontId="1" fillId="0" borderId="64" xfId="0" applyFont="1" applyBorder="1" applyAlignment="1" applyProtection="1">
      <alignment vertical="center"/>
      <protection hidden="1"/>
    </xf>
    <xf numFmtId="0" fontId="1" fillId="0" borderId="0" xfId="0" applyFont="1" applyAlignment="1" applyProtection="1">
      <alignment vertical="center"/>
      <protection hidden="1"/>
    </xf>
    <xf numFmtId="0" fontId="0" fillId="0" borderId="33" xfId="0" applyBorder="1" applyProtection="1">
      <protection hidden="1"/>
    </xf>
    <xf numFmtId="0" fontId="21" fillId="0" borderId="33" xfId="0" applyFont="1" applyBorder="1" applyAlignment="1" applyProtection="1">
      <alignment vertical="center"/>
      <protection hidden="1"/>
    </xf>
    <xf numFmtId="0" fontId="63" fillId="0" borderId="33" xfId="0" applyFont="1" applyBorder="1" applyAlignment="1" applyProtection="1">
      <alignment vertical="center"/>
      <protection hidden="1"/>
    </xf>
    <xf numFmtId="0" fontId="5" fillId="0" borderId="34" xfId="1" applyBorder="1" applyAlignment="1" applyProtection="1">
      <alignment horizontal="left"/>
      <protection hidden="1"/>
    </xf>
    <xf numFmtId="0" fontId="1" fillId="0" borderId="0" xfId="0" applyFont="1" applyAlignment="1" applyProtection="1">
      <alignment horizontal="right" vertical="center"/>
      <protection hidden="1"/>
    </xf>
    <xf numFmtId="0" fontId="21" fillId="0" borderId="0" xfId="0" applyFont="1" applyAlignment="1" applyProtection="1">
      <alignment horizontal="center" vertical="center"/>
      <protection hidden="1"/>
    </xf>
    <xf numFmtId="0" fontId="5" fillId="0" borderId="0" xfId="1" applyAlignment="1" applyProtection="1">
      <alignment horizontal="left"/>
      <protection hidden="1"/>
    </xf>
    <xf numFmtId="0" fontId="0" fillId="0" borderId="0" xfId="0" applyAlignment="1" applyProtection="1">
      <alignment horizontal="center"/>
      <protection hidden="1"/>
    </xf>
    <xf numFmtId="0" fontId="76" fillId="0" borderId="0" xfId="1" applyFont="1" applyAlignment="1" applyProtection="1">
      <alignment horizontal="center"/>
      <protection hidden="1"/>
    </xf>
    <xf numFmtId="0" fontId="76" fillId="0" borderId="0" xfId="1" applyFont="1" applyProtection="1">
      <protection hidden="1"/>
    </xf>
    <xf numFmtId="164" fontId="76" fillId="0" borderId="0" xfId="1" applyNumberFormat="1" applyFont="1" applyProtection="1">
      <protection hidden="1"/>
    </xf>
    <xf numFmtId="0" fontId="76" fillId="0" borderId="0" xfId="1" applyFont="1" applyAlignment="1" applyProtection="1">
      <alignment horizontal="center" vertical="top"/>
      <protection hidden="1"/>
    </xf>
    <xf numFmtId="0" fontId="76" fillId="0" borderId="0" xfId="1" applyFont="1" applyAlignment="1" applyProtection="1">
      <alignment vertical="top"/>
      <protection hidden="1"/>
    </xf>
    <xf numFmtId="0" fontId="79" fillId="0" borderId="0" xfId="1" applyFont="1" applyAlignment="1" applyProtection="1">
      <alignment vertical="center"/>
      <protection hidden="1"/>
    </xf>
    <xf numFmtId="0" fontId="79" fillId="0" borderId="0" xfId="1" applyFont="1" applyAlignment="1" applyProtection="1">
      <alignment horizontal="right" vertical="center"/>
      <protection hidden="1"/>
    </xf>
    <xf numFmtId="0" fontId="63" fillId="0" borderId="0" xfId="1" applyFont="1" applyAlignment="1" applyProtection="1">
      <alignment horizontal="center" vertical="center" wrapText="1"/>
      <protection hidden="1"/>
    </xf>
    <xf numFmtId="0" fontId="63" fillId="0" borderId="0" xfId="1" applyFont="1" applyAlignment="1" applyProtection="1">
      <alignment horizontal="center" vertical="top"/>
      <protection hidden="1"/>
    </xf>
    <xf numFmtId="164" fontId="79" fillId="0" borderId="0" xfId="1" applyNumberFormat="1" applyFont="1" applyAlignment="1" applyProtection="1">
      <alignment horizontal="center" vertical="center"/>
      <protection hidden="1"/>
    </xf>
    <xf numFmtId="164" fontId="76" fillId="0" borderId="0" xfId="1" applyNumberFormat="1" applyFont="1" applyAlignment="1" applyProtection="1">
      <alignment horizontal="center"/>
      <protection hidden="1"/>
    </xf>
    <xf numFmtId="0" fontId="74" fillId="0" borderId="33" xfId="1" applyFont="1" applyBorder="1" applyProtection="1">
      <protection hidden="1"/>
    </xf>
    <xf numFmtId="0" fontId="8" fillId="0" borderId="0" xfId="1" applyFont="1" applyProtection="1">
      <protection hidden="1"/>
    </xf>
    <xf numFmtId="0" fontId="31" fillId="0" borderId="0" xfId="0" applyFont="1" applyProtection="1">
      <protection hidden="1"/>
    </xf>
    <xf numFmtId="0" fontId="8" fillId="0" borderId="64" xfId="1" applyFont="1" applyBorder="1" applyProtection="1">
      <protection hidden="1"/>
    </xf>
    <xf numFmtId="0" fontId="39" fillId="0" borderId="0" xfId="0" applyFont="1" applyAlignment="1" applyProtection="1">
      <alignment horizontal="right"/>
      <protection hidden="1"/>
    </xf>
    <xf numFmtId="0" fontId="82" fillId="0" borderId="0" xfId="1" applyFont="1" applyAlignment="1" applyProtection="1">
      <alignment horizontal="center" vertical="center"/>
      <protection hidden="1"/>
    </xf>
    <xf numFmtId="0" fontId="83" fillId="0" borderId="0" xfId="0" applyFont="1" applyProtection="1">
      <protection hidden="1"/>
    </xf>
    <xf numFmtId="0" fontId="65" fillId="0" borderId="0" xfId="1" applyFont="1" applyAlignment="1" applyProtection="1">
      <alignment horizontal="center" vertical="center"/>
      <protection hidden="1"/>
    </xf>
    <xf numFmtId="0" fontId="82" fillId="0" borderId="0" xfId="1" applyFont="1" applyAlignment="1" applyProtection="1">
      <alignment horizontal="left" vertical="center"/>
      <protection hidden="1"/>
    </xf>
    <xf numFmtId="0" fontId="61" fillId="0" borderId="0" xfId="1" applyFont="1" applyAlignment="1" applyProtection="1">
      <alignment horizontal="right" vertical="center"/>
      <protection hidden="1"/>
    </xf>
    <xf numFmtId="2" fontId="1" fillId="0" borderId="0" xfId="1" applyNumberFormat="1" applyFont="1" applyAlignment="1" applyProtection="1">
      <alignment vertical="center"/>
      <protection hidden="1"/>
    </xf>
    <xf numFmtId="0" fontId="1" fillId="0" borderId="1" xfId="1" applyFont="1" applyBorder="1" applyAlignment="1" applyProtection="1">
      <alignment horizontal="left" vertical="center"/>
      <protection hidden="1"/>
    </xf>
    <xf numFmtId="0" fontId="1" fillId="0" borderId="0" xfId="1" applyFont="1" applyAlignment="1" applyProtection="1">
      <alignment vertical="center" wrapText="1"/>
      <protection hidden="1"/>
    </xf>
    <xf numFmtId="0" fontId="84" fillId="0" borderId="0" xfId="1" applyFont="1" applyAlignment="1" applyProtection="1">
      <alignment horizontal="left" vertical="center"/>
      <protection hidden="1"/>
    </xf>
    <xf numFmtId="0" fontId="1" fillId="0" borderId="33" xfId="1" applyFont="1" applyBorder="1" applyAlignment="1" applyProtection="1">
      <alignment horizontal="left" vertical="center"/>
      <protection hidden="1"/>
    </xf>
    <xf numFmtId="0" fontId="63" fillId="0" borderId="33" xfId="1" applyFont="1" applyBorder="1" applyAlignment="1" applyProtection="1">
      <alignment horizontal="center" vertical="center" wrapText="1"/>
      <protection hidden="1"/>
    </xf>
    <xf numFmtId="0" fontId="85" fillId="0" borderId="0" xfId="1" applyFont="1" applyAlignment="1" applyProtection="1">
      <alignment horizontal="left" vertical="center" wrapText="1"/>
      <protection hidden="1"/>
    </xf>
    <xf numFmtId="0" fontId="63" fillId="0" borderId="0" xfId="1" applyFont="1" applyAlignment="1" applyProtection="1">
      <alignment vertical="center" wrapText="1"/>
      <protection hidden="1"/>
    </xf>
    <xf numFmtId="0" fontId="86" fillId="0" borderId="0" xfId="1" applyFont="1" applyProtection="1">
      <protection hidden="1"/>
    </xf>
    <xf numFmtId="0" fontId="87" fillId="0" borderId="0" xfId="1" applyFont="1" applyAlignment="1" applyProtection="1">
      <alignment horizontal="center" vertical="center"/>
      <protection hidden="1"/>
    </xf>
    <xf numFmtId="0" fontId="39" fillId="0" borderId="0" xfId="0" applyFont="1" applyAlignment="1" applyProtection="1">
      <alignment horizontal="right" vertical="center"/>
      <protection hidden="1"/>
    </xf>
    <xf numFmtId="0" fontId="88" fillId="0" borderId="0" xfId="1" applyFont="1" applyProtection="1">
      <protection hidden="1"/>
    </xf>
    <xf numFmtId="0" fontId="88" fillId="0" borderId="0" xfId="1" applyFont="1" applyAlignment="1" applyProtection="1">
      <alignment vertical="top"/>
      <protection hidden="1"/>
    </xf>
    <xf numFmtId="0" fontId="5" fillId="0" borderId="0" xfId="1" applyFill="1" applyAlignment="1" applyProtection="1">
      <alignment vertical="center"/>
      <protection hidden="1"/>
    </xf>
    <xf numFmtId="0" fontId="32" fillId="0" borderId="0" xfId="0" applyFont="1" applyFill="1" applyAlignment="1" applyProtection="1">
      <alignment horizontal="left"/>
      <protection hidden="1"/>
    </xf>
    <xf numFmtId="0" fontId="0" fillId="2" borderId="9" xfId="0" applyFill="1" applyBorder="1" applyAlignment="1"/>
    <xf numFmtId="14" fontId="0" fillId="2" borderId="3" xfId="0" applyNumberFormat="1" applyFill="1" applyBorder="1" applyAlignment="1"/>
    <xf numFmtId="0" fontId="50" fillId="2" borderId="10" xfId="0" applyFont="1" applyFill="1" applyBorder="1" applyAlignment="1"/>
    <xf numFmtId="0" fontId="33" fillId="2" borderId="4" xfId="0" applyFont="1" applyFill="1" applyBorder="1" applyAlignment="1"/>
    <xf numFmtId="0" fontId="33" fillId="2" borderId="7" xfId="0" applyFont="1" applyFill="1" applyBorder="1" applyAlignment="1"/>
    <xf numFmtId="0" fontId="33" fillId="2" borderId="9" xfId="0" applyFont="1" applyFill="1" applyBorder="1" applyAlignment="1"/>
    <xf numFmtId="0" fontId="34" fillId="2" borderId="4" xfId="0" applyFont="1" applyFill="1" applyBorder="1" applyAlignment="1"/>
    <xf numFmtId="0" fontId="33" fillId="2" borderId="4" xfId="0" applyFont="1" applyFill="1" applyBorder="1" applyAlignment="1">
      <alignment vertical="center"/>
    </xf>
    <xf numFmtId="0" fontId="33" fillId="2" borderId="3" xfId="0" applyFont="1" applyFill="1" applyBorder="1" applyAlignment="1">
      <alignment vertical="center"/>
    </xf>
    <xf numFmtId="0" fontId="33" fillId="2" borderId="5" xfId="0" applyFont="1" applyFill="1" applyBorder="1" applyAlignment="1">
      <alignment horizontal="center" vertical="center"/>
    </xf>
    <xf numFmtId="0" fontId="33" fillId="2" borderId="13" xfId="0" applyFont="1" applyFill="1" applyBorder="1" applyAlignment="1">
      <alignment vertical="center"/>
    </xf>
    <xf numFmtId="0" fontId="0" fillId="2" borderId="1" xfId="0" applyFill="1" applyBorder="1"/>
    <xf numFmtId="0" fontId="0" fillId="2" borderId="10" xfId="0" applyFill="1" applyBorder="1"/>
    <xf numFmtId="0" fontId="0" fillId="2" borderId="9" xfId="0" applyFill="1" applyBorder="1"/>
    <xf numFmtId="0" fontId="0" fillId="0" borderId="0" xfId="0" applyAlignment="1" applyProtection="1">
      <alignment horizontal="center"/>
      <protection hidden="1"/>
    </xf>
    <xf numFmtId="0" fontId="63" fillId="0" borderId="30" xfId="1" applyFont="1" applyBorder="1" applyAlignment="1" applyProtection="1">
      <alignment horizontal="right" vertical="center"/>
      <protection hidden="1"/>
    </xf>
    <xf numFmtId="0" fontId="35" fillId="5" borderId="58" xfId="0" applyFont="1" applyFill="1" applyBorder="1" applyAlignment="1">
      <alignment horizontal="center" vertical="center"/>
    </xf>
    <xf numFmtId="0" fontId="35" fillId="5" borderId="59" xfId="0" applyFont="1" applyFill="1" applyBorder="1" applyAlignment="1">
      <alignment horizontal="center" vertical="center"/>
    </xf>
    <xf numFmtId="0" fontId="35" fillId="5" borderId="29" xfId="0" applyFont="1" applyFill="1" applyBorder="1" applyAlignment="1">
      <alignment horizontal="center" vertical="center"/>
    </xf>
    <xf numFmtId="0" fontId="0" fillId="0" borderId="5" xfId="0" applyFill="1" applyBorder="1" applyAlignment="1">
      <alignment horizontal="center"/>
    </xf>
    <xf numFmtId="0" fontId="0" fillId="0" borderId="4" xfId="0" applyFill="1" applyBorder="1" applyAlignment="1"/>
    <xf numFmtId="0" fontId="0" fillId="0" borderId="5" xfId="0" applyFill="1" applyBorder="1" applyAlignment="1"/>
    <xf numFmtId="0" fontId="0" fillId="0" borderId="14" xfId="0" applyFill="1" applyBorder="1" applyAlignment="1">
      <alignment horizontal="center"/>
    </xf>
    <xf numFmtId="0" fontId="0" fillId="0" borderId="6" xfId="0" applyFill="1" applyBorder="1" applyAlignment="1">
      <alignment horizontal="center"/>
    </xf>
    <xf numFmtId="17" fontId="0" fillId="0" borderId="3" xfId="0" applyNumberFormat="1" applyFill="1" applyBorder="1" applyAlignment="1">
      <alignment horizontal="center"/>
    </xf>
    <xf numFmtId="0" fontId="0" fillId="0" borderId="0" xfId="0" applyAlignment="1" applyProtection="1">
      <alignment horizontal="center"/>
      <protection hidden="1"/>
    </xf>
    <xf numFmtId="0" fontId="35" fillId="6" borderId="58" xfId="0" applyFont="1" applyFill="1" applyBorder="1" applyAlignment="1">
      <alignment horizontal="right" vertical="center"/>
    </xf>
    <xf numFmtId="0" fontId="35" fillId="6" borderId="69" xfId="0" applyFont="1" applyFill="1" applyBorder="1" applyAlignment="1">
      <alignment horizontal="right" vertical="center"/>
    </xf>
    <xf numFmtId="0" fontId="34" fillId="6" borderId="58" xfId="0" applyFont="1" applyFill="1" applyBorder="1" applyAlignment="1">
      <alignment horizontal="left" vertical="center"/>
    </xf>
    <xf numFmtId="0" fontId="63" fillId="0" borderId="30" xfId="1" applyFont="1" applyBorder="1" applyAlignment="1" applyProtection="1">
      <alignment vertical="center"/>
      <protection hidden="1"/>
    </xf>
    <xf numFmtId="0" fontId="0" fillId="0" borderId="30" xfId="0" applyBorder="1"/>
    <xf numFmtId="0" fontId="34" fillId="2" borderId="0" xfId="0" applyFont="1" applyFill="1" applyBorder="1" applyAlignment="1">
      <alignment horizontal="right"/>
    </xf>
    <xf numFmtId="0" fontId="0" fillId="2" borderId="3" xfId="0" quotePrefix="1" applyFill="1" applyBorder="1" applyAlignment="1">
      <alignment horizontal="center"/>
    </xf>
    <xf numFmtId="0" fontId="0" fillId="2" borderId="3" xfId="0" applyNumberFormat="1" applyFill="1" applyBorder="1"/>
    <xf numFmtId="0" fontId="0" fillId="2" borderId="10" xfId="0" applyNumberFormat="1" applyFill="1" applyBorder="1"/>
    <xf numFmtId="0" fontId="0" fillId="0" borderId="5" xfId="0" applyFont="1" applyBorder="1" applyAlignment="1">
      <alignment horizontal="left"/>
    </xf>
    <xf numFmtId="0" fontId="0" fillId="0" borderId="0" xfId="0" applyAlignment="1">
      <alignment horizontal="center"/>
    </xf>
    <xf numFmtId="2" fontId="5" fillId="0" borderId="30" xfId="1" applyNumberFormat="1" applyFill="1" applyBorder="1" applyAlignment="1" applyProtection="1">
      <alignment vertical="center"/>
      <protection hidden="1"/>
    </xf>
    <xf numFmtId="0" fontId="0" fillId="0" borderId="0" xfId="0" applyAlignment="1">
      <alignment horizontal="left"/>
    </xf>
    <xf numFmtId="0" fontId="89" fillId="0" borderId="0" xfId="0" applyFont="1"/>
    <xf numFmtId="0" fontId="8" fillId="0" borderId="56" xfId="1" applyFont="1" applyBorder="1" applyAlignment="1" applyProtection="1">
      <alignment horizontal="center"/>
      <protection hidden="1"/>
    </xf>
    <xf numFmtId="0" fontId="8" fillId="0" borderId="0" xfId="1" applyFont="1" applyBorder="1" applyAlignment="1" applyProtection="1">
      <alignment horizontal="center"/>
      <protection hidden="1"/>
    </xf>
    <xf numFmtId="0" fontId="0" fillId="0" borderId="0" xfId="0" applyBorder="1" applyAlignment="1" applyProtection="1">
      <alignment horizontal="center"/>
      <protection hidden="1"/>
    </xf>
    <xf numFmtId="0" fontId="8" fillId="0" borderId="29" xfId="1" applyFont="1" applyBorder="1" applyAlignment="1" applyProtection="1">
      <protection hidden="1"/>
    </xf>
    <xf numFmtId="2" fontId="35" fillId="5" borderId="33" xfId="0" applyNumberFormat="1" applyFont="1" applyFill="1" applyBorder="1" applyAlignment="1">
      <alignment horizontal="center" vertical="center"/>
    </xf>
    <xf numFmtId="2" fontId="34" fillId="5" borderId="0" xfId="0" applyNumberFormat="1" applyFont="1" applyFill="1" applyAlignment="1">
      <alignment horizontal="center"/>
    </xf>
    <xf numFmtId="0" fontId="94" fillId="5" borderId="33" xfId="0" applyFont="1" applyFill="1" applyBorder="1" applyAlignment="1">
      <alignment horizontal="center" vertical="center"/>
    </xf>
    <xf numFmtId="0" fontId="34" fillId="5" borderId="29" xfId="0" applyFont="1" applyFill="1" applyBorder="1" applyAlignment="1">
      <alignment horizontal="center"/>
    </xf>
    <xf numFmtId="0" fontId="34" fillId="5" borderId="31" xfId="0" applyFont="1" applyFill="1" applyBorder="1" applyAlignment="1">
      <alignment horizontal="center"/>
    </xf>
    <xf numFmtId="0" fontId="34" fillId="5" borderId="56" xfId="0" applyFont="1" applyFill="1" applyBorder="1" applyAlignment="1">
      <alignment horizontal="center"/>
    </xf>
    <xf numFmtId="0" fontId="34" fillId="5" borderId="64" xfId="0" applyFont="1" applyFill="1" applyBorder="1" applyAlignment="1">
      <alignment horizontal="center"/>
    </xf>
    <xf numFmtId="0" fontId="34" fillId="5" borderId="32" xfId="0" applyFont="1" applyFill="1" applyBorder="1" applyAlignment="1">
      <alignment horizontal="center"/>
    </xf>
    <xf numFmtId="0" fontId="34" fillId="5" borderId="34" xfId="0" applyFont="1" applyFill="1" applyBorder="1" applyAlignment="1">
      <alignment horizontal="center"/>
    </xf>
    <xf numFmtId="0" fontId="46" fillId="5" borderId="30" xfId="0" applyFont="1" applyFill="1" applyBorder="1" applyAlignment="1">
      <alignment horizontal="center"/>
    </xf>
    <xf numFmtId="0" fontId="46" fillId="5" borderId="33" xfId="0" applyFont="1" applyFill="1" applyBorder="1" applyAlignment="1">
      <alignment horizontal="center"/>
    </xf>
    <xf numFmtId="10" fontId="34" fillId="5" borderId="29" xfId="0" applyNumberFormat="1" applyFont="1" applyFill="1" applyBorder="1" applyAlignment="1">
      <alignment horizontal="center"/>
    </xf>
    <xf numFmtId="10" fontId="34" fillId="5" borderId="56" xfId="0" applyNumberFormat="1" applyFont="1" applyFill="1" applyBorder="1" applyAlignment="1">
      <alignment horizontal="center"/>
    </xf>
    <xf numFmtId="10" fontId="34" fillId="5" borderId="32" xfId="0" applyNumberFormat="1" applyFont="1" applyFill="1" applyBorder="1" applyAlignment="1">
      <alignment horizontal="center"/>
    </xf>
    <xf numFmtId="0" fontId="0" fillId="0" borderId="0" xfId="0" applyAlignment="1">
      <alignment horizontal="center"/>
    </xf>
    <xf numFmtId="0" fontId="1" fillId="0" borderId="0" xfId="1" applyFont="1" applyAlignment="1" applyProtection="1">
      <alignment horizontal="left" vertical="center"/>
      <protection hidden="1"/>
    </xf>
    <xf numFmtId="0" fontId="0" fillId="0" borderId="0" xfId="0" applyAlignment="1" applyProtection="1">
      <alignment horizontal="center"/>
      <protection hidden="1"/>
    </xf>
    <xf numFmtId="0" fontId="35" fillId="5" borderId="59" xfId="0" applyFont="1" applyFill="1" applyBorder="1" applyAlignment="1">
      <alignment horizontal="center" vertical="center"/>
    </xf>
    <xf numFmtId="0" fontId="34" fillId="6" borderId="58" xfId="0" applyFont="1" applyFill="1" applyBorder="1" applyAlignment="1">
      <alignment horizontal="left" vertical="center"/>
    </xf>
    <xf numFmtId="0" fontId="35" fillId="6" borderId="69" xfId="0" applyFont="1" applyFill="1" applyBorder="1" applyAlignment="1">
      <alignment horizontal="right" vertical="center"/>
    </xf>
    <xf numFmtId="0" fontId="35" fillId="6" borderId="58" xfId="0" applyFont="1" applyFill="1" applyBorder="1" applyAlignment="1">
      <alignment horizontal="right" vertical="center"/>
    </xf>
    <xf numFmtId="165" fontId="34" fillId="5" borderId="32" xfId="0" applyNumberFormat="1" applyFont="1" applyFill="1" applyBorder="1" applyAlignment="1">
      <alignment horizontal="center"/>
    </xf>
    <xf numFmtId="165" fontId="34" fillId="5" borderId="33" xfId="0" applyNumberFormat="1" applyFont="1" applyFill="1" applyBorder="1" applyAlignment="1">
      <alignment horizontal="center"/>
    </xf>
    <xf numFmtId="165" fontId="34" fillId="5" borderId="34" xfId="0" applyNumberFormat="1" applyFont="1" applyFill="1" applyBorder="1" applyAlignment="1">
      <alignment horizontal="center"/>
    </xf>
    <xf numFmtId="164" fontId="5" fillId="0" borderId="0" xfId="1" applyNumberFormat="1" applyFont="1" applyBorder="1" applyAlignment="1" applyProtection="1">
      <alignment horizontal="center"/>
      <protection hidden="1"/>
    </xf>
    <xf numFmtId="0" fontId="5" fillId="0" borderId="0" xfId="1" applyFont="1" applyBorder="1" applyAlignment="1" applyProtection="1">
      <alignment horizontal="center"/>
      <protection hidden="1"/>
    </xf>
    <xf numFmtId="166" fontId="5" fillId="0" borderId="0" xfId="1" applyNumberFormat="1" applyFont="1" applyBorder="1" applyAlignment="1" applyProtection="1">
      <alignment horizontal="center"/>
      <protection hidden="1"/>
    </xf>
    <xf numFmtId="164" fontId="34" fillId="3" borderId="0" xfId="0" applyNumberFormat="1" applyFont="1" applyFill="1" applyBorder="1" applyAlignment="1">
      <alignment horizontal="center" vertical="center"/>
    </xf>
    <xf numFmtId="0" fontId="0" fillId="6" borderId="58" xfId="0" applyFill="1" applyBorder="1"/>
    <xf numFmtId="2" fontId="34" fillId="6" borderId="58" xfId="0" applyNumberFormat="1" applyFont="1" applyFill="1" applyBorder="1" applyAlignment="1">
      <alignment horizontal="center"/>
    </xf>
    <xf numFmtId="0" fontId="35" fillId="3" borderId="0" xfId="0" applyFont="1" applyFill="1" applyBorder="1" applyAlignment="1">
      <alignment horizontal="right" vertical="center"/>
    </xf>
    <xf numFmtId="0" fontId="34" fillId="3" borderId="0" xfId="0" applyFont="1" applyFill="1" applyBorder="1" applyAlignment="1">
      <alignment horizontal="left" vertical="center"/>
    </xf>
    <xf numFmtId="0" fontId="35" fillId="0" borderId="58" xfId="0" applyNumberFormat="1" applyFont="1" applyFill="1" applyBorder="1" applyAlignment="1">
      <alignment horizontal="center" vertical="center"/>
    </xf>
    <xf numFmtId="0" fontId="42" fillId="0" borderId="0" xfId="0" applyFont="1"/>
    <xf numFmtId="167" fontId="35" fillId="6" borderId="58" xfId="0" applyNumberFormat="1" applyFont="1" applyFill="1" applyBorder="1" applyAlignment="1">
      <alignment horizontal="left" vertical="center"/>
    </xf>
    <xf numFmtId="171" fontId="99" fillId="5" borderId="27" xfId="0" applyNumberFormat="1" applyFont="1" applyFill="1" applyBorder="1" applyAlignment="1" applyProtection="1">
      <alignment horizontal="center"/>
      <protection hidden="1"/>
    </xf>
    <xf numFmtId="171" fontId="99" fillId="5" borderId="22" xfId="0" applyNumberFormat="1" applyFont="1" applyFill="1" applyBorder="1" applyAlignment="1" applyProtection="1">
      <alignment horizontal="center"/>
      <protection hidden="1"/>
    </xf>
    <xf numFmtId="171" fontId="99" fillId="5" borderId="23" xfId="0" applyNumberFormat="1" applyFont="1" applyFill="1" applyBorder="1" applyAlignment="1" applyProtection="1">
      <alignment horizontal="center"/>
      <protection hidden="1"/>
    </xf>
    <xf numFmtId="166" fontId="34" fillId="5" borderId="27" xfId="0" applyNumberFormat="1" applyFont="1" applyFill="1" applyBorder="1" applyAlignment="1">
      <alignment horizontal="center"/>
    </xf>
    <xf numFmtId="166" fontId="34" fillId="5" borderId="22" xfId="0" applyNumberFormat="1" applyFont="1" applyFill="1" applyBorder="1" applyAlignment="1">
      <alignment horizontal="center"/>
    </xf>
    <xf numFmtId="166" fontId="34" fillId="5" borderId="23" xfId="0" applyNumberFormat="1" applyFont="1" applyFill="1" applyBorder="1" applyAlignment="1">
      <alignment horizontal="center"/>
    </xf>
    <xf numFmtId="166" fontId="34" fillId="5" borderId="45" xfId="0" applyNumberFormat="1" applyFont="1" applyFill="1" applyBorder="1" applyAlignment="1">
      <alignment horizontal="center"/>
    </xf>
    <xf numFmtId="166" fontId="34" fillId="5" borderId="2" xfId="0" applyNumberFormat="1" applyFont="1" applyFill="1" applyBorder="1" applyAlignment="1">
      <alignment horizontal="center"/>
    </xf>
    <xf numFmtId="166" fontId="34" fillId="5" borderId="46" xfId="0" applyNumberFormat="1" applyFont="1" applyFill="1" applyBorder="1" applyAlignment="1">
      <alignment horizontal="center"/>
    </xf>
    <xf numFmtId="166" fontId="34" fillId="5" borderId="24" xfId="0" applyNumberFormat="1" applyFont="1" applyFill="1" applyBorder="1" applyAlignment="1">
      <alignment horizontal="center"/>
    </xf>
    <xf numFmtId="166" fontId="34" fillId="5" borderId="25" xfId="0" applyNumberFormat="1" applyFont="1" applyFill="1" applyBorder="1" applyAlignment="1">
      <alignment horizontal="center"/>
    </xf>
    <xf numFmtId="166" fontId="34" fillId="5" borderId="26" xfId="0" applyNumberFormat="1" applyFont="1" applyFill="1" applyBorder="1" applyAlignment="1">
      <alignment horizontal="center"/>
    </xf>
    <xf numFmtId="171" fontId="99" fillId="5" borderId="45" xfId="0" applyNumberFormat="1" applyFont="1" applyFill="1" applyBorder="1" applyAlignment="1" applyProtection="1">
      <alignment horizontal="center"/>
      <protection hidden="1"/>
    </xf>
    <xf numFmtId="171" fontId="99" fillId="5" borderId="2" xfId="0" applyNumberFormat="1" applyFont="1" applyFill="1" applyBorder="1" applyAlignment="1" applyProtection="1">
      <alignment horizontal="center"/>
      <protection hidden="1"/>
    </xf>
    <xf numFmtId="171" fontId="99" fillId="5" borderId="46" xfId="0" applyNumberFormat="1" applyFont="1" applyFill="1" applyBorder="1" applyAlignment="1" applyProtection="1">
      <alignment horizontal="center"/>
      <protection hidden="1"/>
    </xf>
    <xf numFmtId="171" fontId="99" fillId="5" borderId="24" xfId="0" applyNumberFormat="1" applyFont="1" applyFill="1" applyBorder="1" applyAlignment="1" applyProtection="1">
      <alignment horizontal="center"/>
      <protection hidden="1"/>
    </xf>
    <xf numFmtId="171" fontId="99" fillId="5" borderId="25" xfId="0" applyNumberFormat="1" applyFont="1" applyFill="1" applyBorder="1" applyAlignment="1" applyProtection="1">
      <alignment horizontal="center"/>
      <protection hidden="1"/>
    </xf>
    <xf numFmtId="171" fontId="99" fillId="5" borderId="26" xfId="0" applyNumberFormat="1" applyFont="1" applyFill="1" applyBorder="1" applyAlignment="1" applyProtection="1">
      <alignment horizontal="center"/>
      <protection hidden="1"/>
    </xf>
    <xf numFmtId="0" fontId="0" fillId="0" borderId="58" xfId="0" quotePrefix="1" applyFill="1" applyBorder="1" applyAlignment="1">
      <alignment horizontal="center"/>
    </xf>
    <xf numFmtId="166" fontId="34" fillId="5" borderId="0" xfId="0" applyNumberFormat="1" applyFont="1" applyFill="1" applyAlignment="1">
      <alignment horizontal="center"/>
    </xf>
    <xf numFmtId="0" fontId="32" fillId="5" borderId="69" xfId="0" applyFont="1" applyFill="1" applyBorder="1" applyAlignment="1">
      <alignment horizontal="center"/>
    </xf>
    <xf numFmtId="0" fontId="0" fillId="0" borderId="33" xfId="0" applyBorder="1"/>
    <xf numFmtId="0" fontId="0" fillId="0" borderId="34" xfId="0" applyBorder="1"/>
    <xf numFmtId="171" fontId="99" fillId="5" borderId="0" xfId="0" applyNumberFormat="1" applyFont="1" applyFill="1" applyBorder="1" applyAlignment="1">
      <alignment horizontal="center"/>
    </xf>
    <xf numFmtId="2" fontId="100" fillId="5" borderId="33" xfId="0" applyNumberFormat="1" applyFont="1" applyFill="1" applyBorder="1" applyAlignment="1">
      <alignment horizontal="center"/>
    </xf>
    <xf numFmtId="0" fontId="101" fillId="0" borderId="0" xfId="0" applyFont="1"/>
    <xf numFmtId="0" fontId="79" fillId="8" borderId="0" xfId="0" applyFont="1" applyFill="1" applyBorder="1" applyAlignment="1" applyProtection="1">
      <alignment horizontal="right" vertical="center"/>
      <protection hidden="1"/>
    </xf>
    <xf numFmtId="166" fontId="5" fillId="0" borderId="0" xfId="1" applyNumberFormat="1" applyFont="1" applyBorder="1" applyAlignment="1" applyProtection="1">
      <alignment horizontal="center"/>
      <protection hidden="1"/>
    </xf>
    <xf numFmtId="0" fontId="8" fillId="0" borderId="0" xfId="1" applyFont="1" applyBorder="1" applyAlignment="1" applyProtection="1">
      <alignment horizontal="center"/>
      <protection hidden="1"/>
    </xf>
    <xf numFmtId="0" fontId="8" fillId="0" borderId="30" xfId="1" applyFont="1" applyBorder="1" applyAlignment="1" applyProtection="1">
      <alignment horizontal="center"/>
      <protection hidden="1"/>
    </xf>
    <xf numFmtId="165" fontId="100" fillId="5" borderId="33" xfId="0" applyNumberFormat="1" applyFont="1" applyFill="1" applyBorder="1" applyAlignment="1">
      <alignment horizontal="center"/>
    </xf>
    <xf numFmtId="166" fontId="34" fillId="5" borderId="63" xfId="0" applyNumberFormat="1" applyFont="1" applyFill="1" applyBorder="1" applyAlignment="1">
      <alignment horizontal="center"/>
    </xf>
    <xf numFmtId="166" fontId="34" fillId="5" borderId="30" xfId="0" applyNumberFormat="1" applyFont="1" applyFill="1" applyBorder="1" applyAlignment="1">
      <alignment horizontal="center"/>
    </xf>
    <xf numFmtId="166" fontId="34" fillId="5" borderId="62" xfId="0" applyNumberFormat="1" applyFont="1" applyFill="1" applyBorder="1" applyAlignment="1">
      <alignment horizontal="center"/>
    </xf>
    <xf numFmtId="0" fontId="35" fillId="0" borderId="0" xfId="0" applyFont="1" applyFill="1" applyBorder="1" applyAlignment="1">
      <alignment vertical="center"/>
    </xf>
    <xf numFmtId="0" fontId="5" fillId="0" borderId="0" xfId="1" applyFont="1" applyBorder="1" applyAlignment="1" applyProtection="1">
      <alignment horizontal="center"/>
      <protection hidden="1"/>
    </xf>
    <xf numFmtId="0" fontId="102" fillId="5" borderId="0" xfId="0" applyFont="1" applyFill="1" applyAlignment="1">
      <alignment horizontal="center"/>
    </xf>
    <xf numFmtId="1" fontId="34" fillId="5" borderId="32" xfId="0" applyNumberFormat="1" applyFont="1" applyFill="1" applyBorder="1" applyAlignment="1">
      <alignment horizontal="center"/>
    </xf>
    <xf numFmtId="1" fontId="34" fillId="5" borderId="33" xfId="0" applyNumberFormat="1" applyFont="1" applyFill="1" applyBorder="1" applyAlignment="1">
      <alignment horizontal="center"/>
    </xf>
    <xf numFmtId="1" fontId="34" fillId="5" borderId="34" xfId="0" applyNumberFormat="1" applyFont="1" applyFill="1" applyBorder="1" applyAlignment="1">
      <alignment horizontal="center"/>
    </xf>
    <xf numFmtId="0" fontId="32" fillId="0" borderId="0" xfId="0" applyFont="1" applyBorder="1" applyAlignment="1">
      <alignment horizontal="center"/>
    </xf>
    <xf numFmtId="1" fontId="5" fillId="0" borderId="0" xfId="1" applyNumberFormat="1" applyFont="1" applyBorder="1" applyAlignment="1" applyProtection="1">
      <alignment horizontal="center" vertical="center"/>
      <protection hidden="1"/>
    </xf>
    <xf numFmtId="0" fontId="0" fillId="0" borderId="56" xfId="0" applyBorder="1"/>
    <xf numFmtId="0" fontId="8" fillId="0" borderId="32" xfId="1" applyFont="1" applyBorder="1" applyAlignment="1" applyProtection="1">
      <alignment horizontal="center"/>
      <protection hidden="1"/>
    </xf>
    <xf numFmtId="0" fontId="32" fillId="0" borderId="33" xfId="0" applyFont="1" applyBorder="1" applyAlignment="1">
      <alignment horizontal="center"/>
    </xf>
    <xf numFmtId="166" fontId="5" fillId="0" borderId="33" xfId="1" applyNumberFormat="1" applyFont="1" applyBorder="1" applyAlignment="1" applyProtection="1">
      <alignment horizontal="center"/>
      <protection hidden="1"/>
    </xf>
    <xf numFmtId="0" fontId="5" fillId="0" borderId="33" xfId="1" applyFont="1" applyBorder="1" applyAlignment="1" applyProtection="1">
      <alignment horizontal="center"/>
      <protection hidden="1"/>
    </xf>
    <xf numFmtId="164" fontId="5" fillId="0" borderId="33" xfId="1" applyNumberFormat="1" applyFont="1" applyBorder="1" applyAlignment="1" applyProtection="1">
      <alignment horizontal="center"/>
      <protection hidden="1"/>
    </xf>
    <xf numFmtId="1" fontId="5" fillId="0" borderId="33" xfId="1" applyNumberFormat="1" applyFont="1" applyBorder="1" applyAlignment="1" applyProtection="1">
      <alignment horizontal="center" vertical="center"/>
      <protection hidden="1"/>
    </xf>
    <xf numFmtId="0" fontId="8" fillId="0" borderId="34" xfId="1" applyFont="1" applyBorder="1" applyProtection="1">
      <protection hidden="1"/>
    </xf>
    <xf numFmtId="166" fontId="5" fillId="0" borderId="30" xfId="1" applyNumberFormat="1" applyFont="1" applyBorder="1" applyAlignment="1" applyProtection="1">
      <alignment horizontal="center"/>
      <protection hidden="1"/>
    </xf>
    <xf numFmtId="0" fontId="5" fillId="0" borderId="30" xfId="1" applyFont="1" applyBorder="1" applyAlignment="1" applyProtection="1">
      <alignment horizontal="center"/>
      <protection hidden="1"/>
    </xf>
    <xf numFmtId="164" fontId="5" fillId="0" borderId="30" xfId="1" applyNumberFormat="1" applyFont="1" applyBorder="1" applyAlignment="1" applyProtection="1">
      <alignment horizontal="center"/>
      <protection hidden="1"/>
    </xf>
    <xf numFmtId="1" fontId="5" fillId="0" borderId="30" xfId="1" applyNumberFormat="1" applyFont="1" applyBorder="1" applyAlignment="1" applyProtection="1">
      <alignment horizontal="center" vertical="center"/>
      <protection hidden="1"/>
    </xf>
    <xf numFmtId="0" fontId="8" fillId="0" borderId="30" xfId="1" applyFont="1" applyBorder="1" applyProtection="1">
      <protection hidden="1"/>
    </xf>
    <xf numFmtId="0" fontId="8" fillId="0" borderId="0" xfId="1" applyFont="1" applyBorder="1" applyProtection="1">
      <protection hidden="1"/>
    </xf>
    <xf numFmtId="0" fontId="5" fillId="0" borderId="56" xfId="1" applyBorder="1" applyProtection="1">
      <protection hidden="1"/>
    </xf>
    <xf numFmtId="0" fontId="1" fillId="0" borderId="0" xfId="1" applyFont="1" applyBorder="1" applyAlignment="1" applyProtection="1">
      <alignment vertical="center"/>
      <protection hidden="1"/>
    </xf>
    <xf numFmtId="2" fontId="1" fillId="0" borderId="0" xfId="1" applyNumberFormat="1" applyFont="1" applyBorder="1" applyAlignment="1" applyProtection="1">
      <alignment vertical="center"/>
      <protection hidden="1"/>
    </xf>
    <xf numFmtId="0" fontId="39" fillId="0" borderId="0" xfId="0" quotePrefix="1" applyFont="1" applyAlignment="1" applyProtection="1">
      <alignment vertical="center"/>
      <protection hidden="1"/>
    </xf>
    <xf numFmtId="0" fontId="61" fillId="0" borderId="56" xfId="1" applyFont="1" applyBorder="1" applyAlignment="1" applyProtection="1">
      <alignment horizontal="right" vertical="center"/>
      <protection hidden="1"/>
    </xf>
    <xf numFmtId="0" fontId="65" fillId="0" borderId="64" xfId="1" applyFont="1" applyBorder="1" applyAlignment="1" applyProtection="1">
      <alignment horizontal="center" vertical="center"/>
      <protection hidden="1"/>
    </xf>
    <xf numFmtId="0" fontId="0" fillId="0" borderId="64" xfId="0" applyBorder="1" applyProtection="1">
      <protection hidden="1"/>
    </xf>
    <xf numFmtId="0" fontId="1" fillId="0" borderId="56" xfId="1" applyFont="1" applyBorder="1" applyAlignment="1" applyProtection="1">
      <alignment vertical="center"/>
      <protection hidden="1"/>
    </xf>
    <xf numFmtId="2" fontId="1" fillId="0" borderId="64" xfId="1" applyNumberFormat="1" applyFont="1" applyBorder="1" applyAlignment="1" applyProtection="1">
      <alignment vertical="center"/>
      <protection hidden="1"/>
    </xf>
    <xf numFmtId="0" fontId="1" fillId="0" borderId="32" xfId="1" applyFont="1" applyBorder="1" applyAlignment="1" applyProtection="1">
      <alignment vertical="center"/>
      <protection hidden="1"/>
    </xf>
    <xf numFmtId="2" fontId="1" fillId="0" borderId="34" xfId="1" applyNumberFormat="1" applyFont="1" applyBorder="1" applyAlignment="1" applyProtection="1">
      <alignment vertical="center"/>
      <protection hidden="1"/>
    </xf>
    <xf numFmtId="0" fontId="8" fillId="8" borderId="0" xfId="0" applyFont="1" applyFill="1" applyBorder="1" applyAlignment="1" applyProtection="1">
      <alignment horizontal="right" vertical="center"/>
      <protection hidden="1"/>
    </xf>
    <xf numFmtId="0" fontId="38" fillId="0" borderId="84" xfId="0" applyFont="1" applyBorder="1" applyAlignment="1">
      <alignment horizontal="left" vertical="center"/>
    </xf>
    <xf numFmtId="0" fontId="38" fillId="0" borderId="18" xfId="0" applyFont="1" applyBorder="1" applyAlignment="1">
      <alignment horizontal="left" vertical="center"/>
    </xf>
    <xf numFmtId="0" fontId="92" fillId="0" borderId="21" xfId="0" applyFont="1" applyBorder="1" applyAlignment="1">
      <alignment horizontal="center"/>
    </xf>
    <xf numFmtId="165" fontId="0" fillId="0" borderId="89" xfId="0" applyNumberFormat="1" applyFont="1" applyBorder="1" applyAlignment="1">
      <alignment horizontal="center"/>
    </xf>
    <xf numFmtId="165" fontId="0" fillId="0" borderId="90" xfId="0" applyNumberFormat="1" applyFont="1" applyBorder="1" applyAlignment="1">
      <alignment horizontal="center"/>
    </xf>
    <xf numFmtId="165" fontId="0" fillId="2" borderId="86" xfId="0" applyNumberFormat="1" applyFont="1" applyFill="1" applyBorder="1" applyAlignment="1">
      <alignment horizontal="center" vertical="center"/>
    </xf>
    <xf numFmtId="165" fontId="0" fillId="2" borderId="91" xfId="0" applyNumberFormat="1" applyFont="1" applyFill="1" applyBorder="1" applyAlignment="1">
      <alignment horizontal="center" vertical="center"/>
    </xf>
    <xf numFmtId="165" fontId="0" fillId="2" borderId="87" xfId="0" applyNumberFormat="1" applyFont="1" applyFill="1" applyBorder="1" applyAlignment="1">
      <alignment horizontal="center" vertical="center"/>
    </xf>
    <xf numFmtId="165" fontId="0" fillId="2" borderId="88" xfId="0" applyNumberFormat="1" applyFont="1" applyFill="1" applyBorder="1" applyAlignment="1">
      <alignment horizontal="center" vertical="center"/>
    </xf>
    <xf numFmtId="165" fontId="0" fillId="0" borderId="85" xfId="0" applyNumberFormat="1" applyFont="1" applyBorder="1" applyAlignment="1">
      <alignment horizontal="center"/>
    </xf>
    <xf numFmtId="165" fontId="0" fillId="2" borderId="92" xfId="0" applyNumberFormat="1" applyFont="1" applyFill="1" applyBorder="1" applyAlignment="1">
      <alignment horizontal="center" vertical="center"/>
    </xf>
    <xf numFmtId="165" fontId="0" fillId="2" borderId="87" xfId="0" quotePrefix="1" applyNumberFormat="1" applyFont="1" applyFill="1" applyBorder="1" applyAlignment="1">
      <alignment horizontal="center" vertical="center"/>
    </xf>
    <xf numFmtId="0" fontId="0" fillId="0" borderId="89" xfId="0" applyBorder="1" applyAlignment="1">
      <alignment horizontal="center"/>
    </xf>
    <xf numFmtId="0" fontId="0" fillId="0" borderId="90" xfId="0" applyBorder="1" applyAlignment="1">
      <alignment horizontal="center"/>
    </xf>
    <xf numFmtId="165" fontId="0" fillId="9" borderId="86" xfId="0" applyNumberFormat="1" applyFill="1" applyBorder="1" applyAlignment="1" applyProtection="1">
      <alignment horizontal="center"/>
      <protection locked="0" hidden="1"/>
    </xf>
    <xf numFmtId="165" fontId="0" fillId="9" borderId="87" xfId="0" applyNumberFormat="1" applyFill="1" applyBorder="1" applyAlignment="1" applyProtection="1">
      <alignment horizontal="center"/>
      <protection locked="0" hidden="1"/>
    </xf>
    <xf numFmtId="165" fontId="0" fillId="9" borderId="88" xfId="0" applyNumberFormat="1" applyFill="1" applyBorder="1" applyAlignment="1" applyProtection="1">
      <alignment horizontal="center"/>
      <protection locked="0" hidden="1"/>
    </xf>
    <xf numFmtId="0" fontId="35" fillId="0" borderId="74" xfId="0" applyFont="1" applyBorder="1" applyAlignment="1">
      <alignment vertical="center" wrapText="1"/>
    </xf>
    <xf numFmtId="0" fontId="35" fillId="0" borderId="75" xfId="0" applyFont="1" applyBorder="1" applyAlignment="1">
      <alignment vertical="center" wrapText="1"/>
    </xf>
    <xf numFmtId="0" fontId="52" fillId="2" borderId="69" xfId="0" applyFont="1" applyFill="1" applyBorder="1" applyAlignment="1">
      <alignment vertical="center"/>
    </xf>
    <xf numFmtId="0" fontId="52" fillId="2" borderId="58" xfId="0" applyFont="1" applyFill="1" applyBorder="1" applyAlignment="1">
      <alignment vertical="center"/>
    </xf>
    <xf numFmtId="0" fontId="52" fillId="2" borderId="59" xfId="0" applyFont="1" applyFill="1" applyBorder="1" applyAlignment="1">
      <alignment vertical="center"/>
    </xf>
    <xf numFmtId="0" fontId="52" fillId="2" borderId="72" xfId="0" applyFont="1" applyFill="1" applyBorder="1" applyAlignment="1">
      <alignment vertical="center"/>
    </xf>
    <xf numFmtId="0" fontId="92" fillId="0" borderId="93" xfId="0" applyFont="1" applyBorder="1" applyAlignment="1">
      <alignment horizontal="center"/>
    </xf>
    <xf numFmtId="165" fontId="0" fillId="0" borderId="94" xfId="0" applyNumberFormat="1" applyFont="1" applyBorder="1" applyAlignment="1">
      <alignment horizontal="center"/>
    </xf>
    <xf numFmtId="164" fontId="0" fillId="0" borderId="0" xfId="0" applyNumberFormat="1"/>
    <xf numFmtId="0" fontId="0" fillId="0" borderId="32" xfId="0" applyBorder="1"/>
    <xf numFmtId="0" fontId="107" fillId="0" borderId="0" xfId="0" applyFont="1"/>
    <xf numFmtId="0" fontId="32" fillId="0" borderId="18" xfId="0" applyFont="1" applyBorder="1" applyAlignment="1">
      <alignment horizontal="center"/>
    </xf>
    <xf numFmtId="0" fontId="33" fillId="2" borderId="13" xfId="0" applyFont="1" applyFill="1" applyBorder="1"/>
    <xf numFmtId="0" fontId="33" fillId="2" borderId="11" xfId="0" applyFont="1" applyFill="1" applyBorder="1"/>
    <xf numFmtId="0" fontId="33" fillId="2" borderId="12" xfId="0" applyFont="1" applyFill="1" applyBorder="1"/>
    <xf numFmtId="0" fontId="0" fillId="2" borderId="1" xfId="0" applyFill="1" applyBorder="1"/>
    <xf numFmtId="0" fontId="0" fillId="2" borderId="10" xfId="0" applyFill="1" applyBorder="1"/>
    <xf numFmtId="0" fontId="0" fillId="2" borderId="9" xfId="0" applyFill="1" applyBorder="1"/>
    <xf numFmtId="0" fontId="41" fillId="0" borderId="0" xfId="0" applyFont="1" applyBorder="1" applyAlignment="1">
      <alignment horizontal="left"/>
    </xf>
    <xf numFmtId="0" fontId="34" fillId="0" borderId="0" xfId="0" applyFont="1" applyBorder="1" applyAlignment="1">
      <alignment horizontal="center"/>
    </xf>
    <xf numFmtId="0" fontId="32" fillId="0" borderId="0" xfId="0" applyFont="1" applyAlignment="1">
      <alignment horizontal="center"/>
    </xf>
    <xf numFmtId="0" fontId="32" fillId="0" borderId="0" xfId="0" applyFont="1" applyAlignment="1">
      <alignment horizontal="right" vertical="center"/>
    </xf>
    <xf numFmtId="0" fontId="8" fillId="0" borderId="0" xfId="0" applyFont="1" applyFill="1" applyBorder="1" applyAlignment="1">
      <alignment horizontal="center" vertical="center"/>
    </xf>
    <xf numFmtId="0" fontId="32" fillId="0" borderId="63" xfId="0" applyFont="1" applyBorder="1" applyAlignment="1">
      <alignment horizontal="center"/>
    </xf>
    <xf numFmtId="0" fontId="32" fillId="0" borderId="62" xfId="0" applyFont="1" applyBorder="1" applyAlignment="1">
      <alignment horizontal="center"/>
    </xf>
    <xf numFmtId="172" fontId="109" fillId="0" borderId="0" xfId="0" applyNumberFormat="1" applyFont="1" applyBorder="1" applyAlignment="1">
      <alignment horizontal="center" vertical="center"/>
    </xf>
    <xf numFmtId="172" fontId="109" fillId="0" borderId="8" xfId="0" applyNumberFormat="1" applyFont="1" applyBorder="1" applyAlignment="1">
      <alignment horizontal="center" vertical="center"/>
    </xf>
    <xf numFmtId="0" fontId="32" fillId="0" borderId="7" xfId="0" applyFont="1" applyBorder="1" applyAlignment="1">
      <alignment horizontal="center"/>
    </xf>
    <xf numFmtId="0" fontId="108" fillId="0" borderId="0" xfId="0" applyFont="1" applyBorder="1" applyAlignment="1">
      <alignment horizontal="center"/>
    </xf>
    <xf numFmtId="0" fontId="111" fillId="0" borderId="7" xfId="0" applyFont="1" applyBorder="1" applyAlignment="1">
      <alignment horizontal="center"/>
    </xf>
    <xf numFmtId="172" fontId="109" fillId="0" borderId="0" xfId="0" applyNumberFormat="1" applyFont="1" applyBorder="1"/>
    <xf numFmtId="171" fontId="51" fillId="0" borderId="0" xfId="0" applyNumberFormat="1" applyFont="1" applyBorder="1"/>
    <xf numFmtId="0" fontId="111" fillId="0" borderId="9" xfId="0" applyFont="1" applyBorder="1" applyAlignment="1">
      <alignment horizontal="center"/>
    </xf>
    <xf numFmtId="172" fontId="109" fillId="0" borderId="1" xfId="0" applyNumberFormat="1" applyFont="1" applyBorder="1" applyAlignment="1">
      <alignment horizontal="center" vertical="center"/>
    </xf>
    <xf numFmtId="172" fontId="109" fillId="0" borderId="1" xfId="0" applyNumberFormat="1" applyFont="1" applyBorder="1"/>
    <xf numFmtId="0" fontId="32" fillId="0" borderId="13" xfId="0" applyFont="1" applyBorder="1" applyAlignment="1">
      <alignment horizontal="center"/>
    </xf>
    <xf numFmtId="0" fontId="32" fillId="0" borderId="11" xfId="0" applyFont="1" applyBorder="1" applyAlignment="1">
      <alignment horizontal="center"/>
    </xf>
    <xf numFmtId="0" fontId="32" fillId="0" borderId="12" xfId="0" applyFont="1" applyBorder="1" applyAlignment="1">
      <alignment horizontal="center"/>
    </xf>
    <xf numFmtId="172" fontId="109" fillId="0" borderId="0" xfId="0" applyNumberFormat="1" applyFont="1" applyBorder="1" applyAlignment="1">
      <alignment vertical="center"/>
    </xf>
    <xf numFmtId="172" fontId="109" fillId="0" borderId="1" xfId="0" applyNumberFormat="1" applyFont="1" applyBorder="1" applyAlignment="1">
      <alignment vertical="center"/>
    </xf>
    <xf numFmtId="0" fontId="32" fillId="0" borderId="0" xfId="0" applyFont="1" applyAlignment="1">
      <alignment horizontal="center"/>
    </xf>
    <xf numFmtId="0" fontId="63" fillId="0" borderId="71" xfId="0" applyFont="1" applyFill="1" applyBorder="1" applyAlignment="1">
      <alignment horizontal="center" vertical="center"/>
    </xf>
    <xf numFmtId="0" fontId="0" fillId="0" borderId="71" xfId="0" applyBorder="1"/>
    <xf numFmtId="0" fontId="0" fillId="0" borderId="6" xfId="0" applyBorder="1"/>
    <xf numFmtId="0" fontId="108" fillId="0" borderId="8" xfId="0" applyFont="1" applyBorder="1" applyAlignment="1">
      <alignment horizontal="center"/>
    </xf>
    <xf numFmtId="2" fontId="114" fillId="0" borderId="0" xfId="0" applyNumberFormat="1" applyFont="1" applyBorder="1" applyAlignment="1">
      <alignment horizontal="center"/>
    </xf>
    <xf numFmtId="2" fontId="115" fillId="0" borderId="0" xfId="0" applyNumberFormat="1" applyFont="1" applyBorder="1" applyAlignment="1">
      <alignment horizontal="center" vertical="center"/>
    </xf>
    <xf numFmtId="0" fontId="8" fillId="0" borderId="29" xfId="0" applyFont="1" applyBorder="1" applyAlignment="1">
      <alignment horizontal="center" vertical="center"/>
    </xf>
    <xf numFmtId="0" fontId="10" fillId="0" borderId="30" xfId="0" applyFont="1" applyBorder="1" applyAlignment="1">
      <alignment horizontal="center" vertical="center"/>
    </xf>
    <xf numFmtId="166" fontId="44" fillId="0" borderId="33" xfId="0" applyNumberFormat="1" applyFont="1" applyBorder="1" applyAlignment="1">
      <alignment horizontal="center" vertical="center"/>
    </xf>
    <xf numFmtId="164" fontId="44" fillId="0" borderId="33" xfId="0" applyNumberFormat="1" applyFont="1" applyBorder="1" applyAlignment="1">
      <alignment horizontal="center" vertical="center"/>
    </xf>
    <xf numFmtId="164" fontId="44" fillId="0" borderId="32" xfId="0" applyNumberFormat="1" applyFont="1" applyBorder="1" applyAlignment="1">
      <alignment horizontal="center" vertical="center"/>
    </xf>
    <xf numFmtId="164" fontId="44" fillId="0" borderId="34" xfId="0" applyNumberFormat="1" applyFont="1" applyBorder="1" applyAlignment="1">
      <alignment horizontal="center" vertical="center"/>
    </xf>
    <xf numFmtId="0" fontId="10" fillId="0" borderId="31" xfId="0" applyFont="1" applyBorder="1" applyAlignment="1">
      <alignment horizontal="center" vertical="center"/>
    </xf>
    <xf numFmtId="172" fontId="109" fillId="0" borderId="9" xfId="0" applyNumberFormat="1" applyFont="1" applyBorder="1" applyAlignment="1">
      <alignment horizontal="center" vertical="center"/>
    </xf>
    <xf numFmtId="172" fontId="109" fillId="0" borderId="10" xfId="0" applyNumberFormat="1" applyFont="1" applyBorder="1" applyAlignment="1">
      <alignment horizontal="center" vertical="center"/>
    </xf>
    <xf numFmtId="0" fontId="108" fillId="0" borderId="12" xfId="0" applyFont="1" applyBorder="1" applyAlignment="1">
      <alignment horizontal="center"/>
    </xf>
    <xf numFmtId="0" fontId="108" fillId="0" borderId="14" xfId="0" applyFont="1" applyBorder="1" applyAlignment="1">
      <alignment horizontal="center"/>
    </xf>
    <xf numFmtId="172" fontId="109" fillId="0" borderId="6" xfId="0" applyNumberFormat="1" applyFont="1" applyBorder="1" applyAlignment="1">
      <alignment horizontal="center" vertical="center"/>
    </xf>
    <xf numFmtId="166" fontId="114" fillId="0" borderId="71" xfId="0" applyNumberFormat="1" applyFont="1" applyBorder="1" applyAlignment="1">
      <alignment horizontal="center"/>
    </xf>
    <xf numFmtId="166" fontId="115" fillId="0" borderId="71" xfId="0" applyNumberFormat="1" applyFont="1" applyBorder="1" applyAlignment="1">
      <alignment horizontal="center"/>
    </xf>
    <xf numFmtId="0" fontId="107" fillId="0" borderId="60" xfId="0" applyFont="1" applyBorder="1" applyAlignment="1">
      <alignment horizontal="center"/>
    </xf>
    <xf numFmtId="172" fontId="109" fillId="0" borderId="10" xfId="0" applyNumberFormat="1" applyFont="1" applyBorder="1" applyAlignment="1">
      <alignment vertical="center"/>
    </xf>
    <xf numFmtId="2" fontId="115" fillId="0" borderId="0" xfId="0" applyNumberFormat="1" applyFont="1" applyBorder="1" applyAlignment="1">
      <alignment horizontal="center"/>
    </xf>
    <xf numFmtId="166" fontId="0" fillId="0" borderId="33" xfId="0" applyNumberFormat="1" applyBorder="1" applyAlignment="1">
      <alignment horizontal="center" vertical="center"/>
    </xf>
    <xf numFmtId="164" fontId="0" fillId="0" borderId="32" xfId="0" applyNumberFormat="1" applyBorder="1" applyAlignment="1">
      <alignment horizontal="center" vertical="center"/>
    </xf>
    <xf numFmtId="164" fontId="0" fillId="0" borderId="33" xfId="0" applyNumberFormat="1" applyBorder="1" applyAlignment="1">
      <alignment horizontal="center" vertical="center"/>
    </xf>
    <xf numFmtId="166" fontId="0" fillId="0" borderId="34" xfId="0" applyNumberFormat="1"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0" xfId="0" applyAlignment="1" applyProtection="1">
      <alignment horizontal="center"/>
      <protection hidden="1"/>
    </xf>
    <xf numFmtId="2" fontId="0" fillId="0" borderId="56" xfId="0" applyNumberFormat="1" applyBorder="1" applyAlignment="1">
      <alignment horizontal="center"/>
    </xf>
    <xf numFmtId="2" fontId="0" fillId="0" borderId="0" xfId="0" applyNumberFormat="1" applyBorder="1" applyAlignment="1">
      <alignment horizontal="center"/>
    </xf>
    <xf numFmtId="0" fontId="0" fillId="0" borderId="33" xfId="0" applyBorder="1" applyAlignment="1">
      <alignment horizontal="center"/>
    </xf>
    <xf numFmtId="0" fontId="0" fillId="0" borderId="0" xfId="0" applyAlignment="1">
      <alignment horizontal="center"/>
    </xf>
    <xf numFmtId="0" fontId="0" fillId="2" borderId="87" xfId="0" applyFill="1" applyBorder="1" applyAlignment="1">
      <alignment horizontal="center"/>
    </xf>
    <xf numFmtId="165" fontId="0" fillId="2" borderId="87" xfId="0" applyNumberFormat="1" applyFill="1" applyBorder="1" applyAlignment="1">
      <alignment horizontal="center"/>
    </xf>
    <xf numFmtId="171" fontId="114" fillId="0" borderId="1" xfId="0" applyNumberFormat="1" applyFont="1" applyBorder="1"/>
    <xf numFmtId="171" fontId="115" fillId="0" borderId="1" xfId="0" applyNumberFormat="1" applyFont="1" applyBorder="1"/>
    <xf numFmtId="171" fontId="114" fillId="0" borderId="0" xfId="0" applyNumberFormat="1" applyFont="1" applyBorder="1"/>
    <xf numFmtId="0" fontId="0" fillId="2" borderId="86" xfId="0" applyFill="1" applyBorder="1" applyAlignment="1">
      <alignment horizontal="center"/>
    </xf>
    <xf numFmtId="0" fontId="0" fillId="2" borderId="88" xfId="0" applyFill="1" applyBorder="1" applyAlignment="1">
      <alignment horizontal="center"/>
    </xf>
    <xf numFmtId="0" fontId="39" fillId="5" borderId="70" xfId="0" applyFont="1" applyFill="1" applyBorder="1" applyAlignment="1">
      <alignment horizontal="center" vertical="center"/>
    </xf>
    <xf numFmtId="0" fontId="0" fillId="0" borderId="32" xfId="0" quotePrefix="1" applyBorder="1" applyAlignment="1">
      <alignment horizontal="center"/>
    </xf>
    <xf numFmtId="0" fontId="0" fillId="0" borderId="56" xfId="0" quotePrefix="1" applyBorder="1" applyAlignment="1">
      <alignment horizontal="center"/>
    </xf>
    <xf numFmtId="2" fontId="0" fillId="0" borderId="0" xfId="0" applyNumberFormat="1" applyFill="1" applyBorder="1" applyAlignment="1">
      <alignment horizontal="center"/>
    </xf>
    <xf numFmtId="2" fontId="0" fillId="0" borderId="33" xfId="0" applyNumberFormat="1" applyFill="1" applyBorder="1" applyAlignment="1">
      <alignment horizontal="center"/>
    </xf>
    <xf numFmtId="2" fontId="114" fillId="0" borderId="71" xfId="0" applyNumberFormat="1" applyFont="1" applyBorder="1" applyAlignment="1">
      <alignment horizontal="center"/>
    </xf>
    <xf numFmtId="2" fontId="115" fillId="0" borderId="71" xfId="0" applyNumberFormat="1" applyFont="1" applyBorder="1" applyAlignment="1">
      <alignment horizontal="center"/>
    </xf>
    <xf numFmtId="0" fontId="108" fillId="0" borderId="0" xfId="0" applyFont="1" applyAlignment="1">
      <alignment horizontal="center"/>
    </xf>
    <xf numFmtId="0" fontId="35" fillId="0" borderId="0" xfId="0" applyFont="1" applyAlignment="1">
      <alignment horizontal="center"/>
    </xf>
    <xf numFmtId="0" fontId="118" fillId="0" borderId="0" xfId="0" applyFont="1" applyAlignment="1">
      <alignment horizontal="center" vertical="center"/>
    </xf>
    <xf numFmtId="0" fontId="120" fillId="5" borderId="53" xfId="0" applyFont="1" applyFill="1" applyBorder="1" applyAlignment="1" applyProtection="1">
      <alignment horizontal="center" vertical="center" wrapText="1"/>
      <protection hidden="1"/>
    </xf>
    <xf numFmtId="0" fontId="120" fillId="5" borderId="1" xfId="0" applyFont="1" applyFill="1" applyBorder="1" applyAlignment="1" applyProtection="1">
      <alignment horizontal="center" vertical="center" wrapText="1"/>
      <protection hidden="1"/>
    </xf>
    <xf numFmtId="0" fontId="120" fillId="5" borderId="54" xfId="0" applyFont="1" applyFill="1" applyBorder="1" applyAlignment="1" applyProtection="1">
      <alignment horizontal="center" vertical="center" wrapText="1"/>
      <protection hidden="1"/>
    </xf>
    <xf numFmtId="2" fontId="0" fillId="0" borderId="47" xfId="0" applyNumberFormat="1" applyBorder="1" applyAlignment="1">
      <alignment horizontal="center"/>
    </xf>
    <xf numFmtId="2" fontId="0" fillId="0" borderId="11" xfId="0" applyNumberFormat="1" applyBorder="1" applyAlignment="1">
      <alignment horizontal="center"/>
    </xf>
    <xf numFmtId="2" fontId="0" fillId="0" borderId="48" xfId="0" applyNumberFormat="1" applyBorder="1" applyAlignment="1">
      <alignment horizontal="center"/>
    </xf>
    <xf numFmtId="2" fontId="0" fillId="0" borderId="64" xfId="0" applyNumberFormat="1" applyBorder="1" applyAlignment="1">
      <alignment horizontal="center"/>
    </xf>
    <xf numFmtId="2" fontId="0" fillId="0" borderId="64" xfId="0" applyNumberFormat="1" applyFill="1" applyBorder="1" applyAlignment="1">
      <alignment horizontal="center"/>
    </xf>
    <xf numFmtId="0" fontId="0" fillId="0" borderId="34" xfId="0" applyBorder="1" applyAlignment="1">
      <alignment horizontal="center"/>
    </xf>
    <xf numFmtId="0" fontId="121" fillId="11" borderId="60" xfId="0" applyFont="1" applyFill="1" applyBorder="1" applyAlignment="1">
      <alignment horizontal="center"/>
    </xf>
    <xf numFmtId="1" fontId="37" fillId="5" borderId="32" xfId="0" applyNumberFormat="1" applyFont="1" applyFill="1" applyBorder="1" applyAlignment="1">
      <alignment horizontal="center" vertical="center"/>
    </xf>
    <xf numFmtId="1" fontId="37" fillId="5" borderId="33" xfId="0" applyNumberFormat="1" applyFont="1" applyFill="1" applyBorder="1" applyAlignment="1">
      <alignment horizontal="center" vertical="center"/>
    </xf>
    <xf numFmtId="1" fontId="37" fillId="5" borderId="34" xfId="0" applyNumberFormat="1" applyFont="1" applyFill="1" applyBorder="1" applyAlignment="1">
      <alignment horizontal="center" vertical="center"/>
    </xf>
    <xf numFmtId="1" fontId="0" fillId="0" borderId="0" xfId="0" applyNumberFormat="1" applyAlignment="1">
      <alignment horizontal="center"/>
    </xf>
    <xf numFmtId="0" fontId="46" fillId="5" borderId="29" xfId="0" applyFont="1" applyFill="1" applyBorder="1" applyAlignment="1">
      <alignment horizontal="center"/>
    </xf>
    <xf numFmtId="0" fontId="46" fillId="5" borderId="31" xfId="0" applyFont="1" applyFill="1" applyBorder="1" applyAlignment="1">
      <alignment horizontal="center"/>
    </xf>
    <xf numFmtId="0" fontId="46" fillId="5" borderId="56" xfId="0" applyFont="1" applyFill="1" applyBorder="1" applyAlignment="1">
      <alignment horizontal="center"/>
    </xf>
    <xf numFmtId="0" fontId="46" fillId="5" borderId="64" xfId="0" applyFont="1" applyFill="1" applyBorder="1" applyAlignment="1">
      <alignment horizontal="center"/>
    </xf>
    <xf numFmtId="0" fontId="34" fillId="5" borderId="56" xfId="0" applyFont="1" applyFill="1" applyBorder="1" applyAlignment="1">
      <alignment horizontal="center" vertical="center"/>
    </xf>
    <xf numFmtId="0" fontId="34" fillId="5" borderId="0" xfId="0" applyFont="1" applyFill="1" applyBorder="1" applyAlignment="1">
      <alignment horizontal="center" vertical="center"/>
    </xf>
    <xf numFmtId="0" fontId="34" fillId="5" borderId="64" xfId="0" applyFont="1" applyFill="1" applyBorder="1" applyAlignment="1">
      <alignment horizontal="center" vertical="center"/>
    </xf>
    <xf numFmtId="0" fontId="46" fillId="5" borderId="32" xfId="0" applyFont="1" applyFill="1" applyBorder="1" applyAlignment="1">
      <alignment horizontal="center"/>
    </xf>
    <xf numFmtId="0" fontId="46" fillId="5" borderId="34" xfId="0" applyFont="1" applyFill="1" applyBorder="1" applyAlignment="1">
      <alignment horizontal="center"/>
    </xf>
    <xf numFmtId="0" fontId="0" fillId="0" borderId="0" xfId="0" applyAlignment="1" applyProtection="1">
      <alignment horizontal="center"/>
      <protection hidden="1"/>
    </xf>
    <xf numFmtId="0" fontId="0" fillId="2" borderId="2" xfId="0" applyFill="1" applyBorder="1" applyAlignment="1">
      <alignment horizontal="center"/>
    </xf>
    <xf numFmtId="0" fontId="0" fillId="2" borderId="1" xfId="0" applyFill="1" applyBorder="1"/>
    <xf numFmtId="0" fontId="0" fillId="0" borderId="0" xfId="0" applyAlignment="1" applyProtection="1">
      <alignment horizontal="center"/>
      <protection hidden="1"/>
    </xf>
    <xf numFmtId="0" fontId="32" fillId="5" borderId="60" xfId="0" applyFont="1" applyFill="1" applyBorder="1" applyAlignment="1">
      <alignment horizontal="center"/>
    </xf>
    <xf numFmtId="167" fontId="34" fillId="5" borderId="44" xfId="0" applyNumberFormat="1" applyFont="1" applyFill="1" applyBorder="1" applyAlignment="1">
      <alignment horizontal="center" vertical="center" wrapText="1"/>
    </xf>
    <xf numFmtId="167" fontId="34" fillId="5" borderId="44" xfId="0" applyNumberFormat="1" applyFont="1" applyFill="1" applyBorder="1" applyAlignment="1">
      <alignment vertical="center" wrapText="1"/>
    </xf>
    <xf numFmtId="1" fontId="34" fillId="5" borderId="55" xfId="0" applyNumberFormat="1" applyFont="1" applyFill="1" applyBorder="1" applyAlignment="1">
      <alignment horizontal="center" vertical="center" wrapText="1"/>
    </xf>
    <xf numFmtId="167" fontId="34" fillId="5" borderId="70" xfId="0" applyNumberFormat="1" applyFont="1" applyFill="1" applyBorder="1" applyAlignment="1">
      <alignment horizontal="center" vertical="center" wrapText="1"/>
    </xf>
    <xf numFmtId="166" fontId="0" fillId="4" borderId="14" xfId="0" applyNumberFormat="1" applyFill="1" applyBorder="1" applyAlignment="1">
      <alignment horizontal="center"/>
    </xf>
    <xf numFmtId="166" fontId="0" fillId="4" borderId="83" xfId="0" applyNumberFormat="1" applyFill="1" applyBorder="1" applyAlignment="1">
      <alignment horizontal="center"/>
    </xf>
    <xf numFmtId="165" fontId="0" fillId="4" borderId="6" xfId="0" applyNumberFormat="1" applyFill="1" applyBorder="1" applyAlignment="1">
      <alignment horizontal="center"/>
    </xf>
    <xf numFmtId="165" fontId="0" fillId="4" borderId="52" xfId="0" applyNumberFormat="1" applyFill="1" applyBorder="1" applyAlignment="1">
      <alignment horizontal="center"/>
    </xf>
    <xf numFmtId="10" fontId="99" fillId="5" borderId="63" xfId="0" applyNumberFormat="1" applyFont="1" applyFill="1" applyBorder="1" applyAlignment="1">
      <alignment horizontal="center"/>
    </xf>
    <xf numFmtId="10" fontId="99" fillId="5" borderId="30" xfId="0" applyNumberFormat="1" applyFont="1" applyFill="1" applyBorder="1" applyAlignment="1">
      <alignment horizontal="center"/>
    </xf>
    <xf numFmtId="10" fontId="99" fillId="5" borderId="31" xfId="0" applyNumberFormat="1" applyFont="1" applyFill="1" applyBorder="1" applyAlignment="1">
      <alignment horizontal="center"/>
    </xf>
    <xf numFmtId="10" fontId="99" fillId="5" borderId="7" xfId="0" applyNumberFormat="1" applyFont="1" applyFill="1" applyBorder="1" applyAlignment="1">
      <alignment horizontal="center"/>
    </xf>
    <xf numFmtId="10" fontId="99" fillId="5" borderId="0" xfId="0" applyNumberFormat="1" applyFont="1" applyFill="1" applyBorder="1" applyAlignment="1">
      <alignment horizontal="center"/>
    </xf>
    <xf numFmtId="10" fontId="99" fillId="5" borderId="64" xfId="0" applyNumberFormat="1" applyFont="1" applyFill="1" applyBorder="1" applyAlignment="1">
      <alignment horizontal="center"/>
    </xf>
    <xf numFmtId="10" fontId="99" fillId="5" borderId="66" xfId="0" applyNumberFormat="1" applyFont="1" applyFill="1" applyBorder="1" applyAlignment="1">
      <alignment horizontal="center"/>
    </xf>
    <xf numFmtId="10" fontId="99" fillId="5" borderId="33" xfId="0" applyNumberFormat="1" applyFont="1" applyFill="1" applyBorder="1" applyAlignment="1">
      <alignment horizontal="center"/>
    </xf>
    <xf numFmtId="10" fontId="99" fillId="5" borderId="34" xfId="0" applyNumberFormat="1" applyFont="1" applyFill="1" applyBorder="1" applyAlignment="1">
      <alignment horizontal="center"/>
    </xf>
    <xf numFmtId="0" fontId="0" fillId="12" borderId="58" xfId="0" applyFill="1" applyBorder="1" applyAlignment="1">
      <alignment horizontal="center"/>
    </xf>
    <xf numFmtId="0" fontId="0" fillId="12" borderId="58" xfId="0" quotePrefix="1" applyFill="1" applyBorder="1" applyAlignment="1">
      <alignment horizontal="center"/>
    </xf>
    <xf numFmtId="0" fontId="41" fillId="0" borderId="73" xfId="0" applyFont="1" applyBorder="1" applyAlignment="1">
      <alignment horizontal="center" vertical="center" wrapText="1"/>
    </xf>
    <xf numFmtId="0" fontId="50" fillId="2" borderId="1" xfId="0" applyFont="1" applyFill="1" applyBorder="1" applyAlignment="1">
      <alignment horizontal="right"/>
    </xf>
    <xf numFmtId="0" fontId="0" fillId="2" borderId="11" xfId="0" applyFill="1" applyBorder="1"/>
    <xf numFmtId="165" fontId="0" fillId="2" borderId="96" xfId="0" applyNumberFormat="1" applyFont="1" applyFill="1" applyBorder="1" applyAlignment="1">
      <alignment horizontal="center" vertical="center"/>
    </xf>
    <xf numFmtId="0" fontId="35" fillId="6" borderId="59" xfId="0" applyNumberFormat="1" applyFont="1" applyFill="1" applyBorder="1" applyAlignment="1">
      <alignment horizontal="left" vertical="center"/>
    </xf>
    <xf numFmtId="0" fontId="35" fillId="5" borderId="29" xfId="0" applyFont="1" applyFill="1" applyBorder="1" applyAlignment="1">
      <alignment horizontal="center" vertical="center"/>
    </xf>
    <xf numFmtId="0" fontId="35" fillId="5" borderId="58" xfId="0" applyFont="1" applyFill="1" applyBorder="1" applyAlignment="1">
      <alignment horizontal="center" vertical="center"/>
    </xf>
    <xf numFmtId="0" fontId="35" fillId="5" borderId="59" xfId="0" applyFont="1" applyFill="1" applyBorder="1" applyAlignment="1">
      <alignment horizontal="center" vertical="center"/>
    </xf>
    <xf numFmtId="0" fontId="34" fillId="6" borderId="58" xfId="0" applyFont="1" applyFill="1" applyBorder="1" applyAlignment="1">
      <alignment horizontal="left" vertical="center"/>
    </xf>
    <xf numFmtId="0" fontId="35" fillId="6" borderId="58" xfId="0" applyFont="1" applyFill="1" applyBorder="1" applyAlignment="1">
      <alignment horizontal="right" vertical="center"/>
    </xf>
    <xf numFmtId="0" fontId="35" fillId="6" borderId="69" xfId="0" applyFont="1" applyFill="1" applyBorder="1" applyAlignment="1">
      <alignment horizontal="right" vertical="center"/>
    </xf>
    <xf numFmtId="0" fontId="0" fillId="0" borderId="0" xfId="0" applyAlignment="1">
      <alignment horizontal="center"/>
    </xf>
    <xf numFmtId="0" fontId="99" fillId="5" borderId="8" xfId="0" applyFont="1" applyFill="1" applyBorder="1" applyAlignment="1">
      <alignment horizontal="center"/>
    </xf>
    <xf numFmtId="0" fontId="0" fillId="0" borderId="8" xfId="0" applyBorder="1" applyAlignment="1">
      <alignment horizontal="center"/>
    </xf>
    <xf numFmtId="0" fontId="0" fillId="0" borderId="0" xfId="0" applyAlignment="1">
      <alignment horizontal="center"/>
    </xf>
    <xf numFmtId="0" fontId="107" fillId="0" borderId="44" xfId="0" applyFont="1" applyBorder="1" applyAlignment="1">
      <alignment horizontal="center"/>
    </xf>
    <xf numFmtId="0" fontId="32" fillId="0" borderId="13" xfId="0" applyFont="1" applyFill="1" applyBorder="1" applyAlignment="1">
      <alignment horizontal="right"/>
    </xf>
    <xf numFmtId="0" fontId="0" fillId="0" borderId="12" xfId="0" applyBorder="1" applyAlignment="1">
      <alignment horizontal="center"/>
    </xf>
    <xf numFmtId="0" fontId="32" fillId="0" borderId="7" xfId="0" applyFont="1" applyBorder="1" applyAlignment="1">
      <alignment horizontal="right"/>
    </xf>
    <xf numFmtId="0" fontId="32" fillId="0" borderId="7" xfId="0" applyFont="1" applyFill="1" applyBorder="1" applyAlignment="1">
      <alignment horizontal="right"/>
    </xf>
    <xf numFmtId="0" fontId="32" fillId="0" borderId="9" xfId="0" applyFont="1" applyFill="1" applyBorder="1" applyAlignment="1">
      <alignment horizontal="right"/>
    </xf>
    <xf numFmtId="172" fontId="0" fillId="0" borderId="0" xfId="0" applyNumberFormat="1" applyAlignment="1">
      <alignment horizontal="center"/>
    </xf>
    <xf numFmtId="0" fontId="125" fillId="0" borderId="0" xfId="0" applyFont="1" applyAlignment="1">
      <alignment horizontal="center" vertical="center"/>
    </xf>
    <xf numFmtId="0" fontId="35" fillId="0" borderId="0" xfId="0" applyFont="1" applyBorder="1" applyAlignment="1">
      <alignment horizontal="left" vertical="center"/>
    </xf>
    <xf numFmtId="1" fontId="50" fillId="5" borderId="32" xfId="0" applyNumberFormat="1" applyFont="1" applyFill="1" applyBorder="1" applyAlignment="1">
      <alignment horizontal="center" vertical="center"/>
    </xf>
    <xf numFmtId="1" fontId="50" fillId="5" borderId="33" xfId="0" applyNumberFormat="1" applyFont="1" applyFill="1" applyBorder="1" applyAlignment="1">
      <alignment horizontal="center" vertical="center"/>
    </xf>
    <xf numFmtId="1" fontId="50" fillId="5" borderId="34" xfId="0" applyNumberFormat="1" applyFont="1" applyFill="1" applyBorder="1" applyAlignment="1">
      <alignment horizontal="center" vertical="center"/>
    </xf>
    <xf numFmtId="0" fontId="8" fillId="0" borderId="0" xfId="0" applyFont="1" applyAlignment="1">
      <alignment horizontal="center" wrapText="1"/>
    </xf>
    <xf numFmtId="0" fontId="0" fillId="0" borderId="4" xfId="0" applyFill="1" applyBorder="1" applyAlignment="1">
      <alignment horizontal="center"/>
    </xf>
    <xf numFmtId="0" fontId="0" fillId="0" borderId="3" xfId="0" applyFill="1" applyBorder="1" applyAlignment="1">
      <alignment horizontal="center"/>
    </xf>
    <xf numFmtId="0" fontId="50" fillId="2" borderId="7" xfId="0" applyFont="1" applyFill="1" applyBorder="1"/>
    <xf numFmtId="0" fontId="50" fillId="2" borderId="0" xfId="0" applyFont="1" applyFill="1" applyBorder="1"/>
    <xf numFmtId="0" fontId="50" fillId="2" borderId="8" xfId="0" applyFont="1" applyFill="1" applyBorder="1"/>
    <xf numFmtId="0" fontId="33" fillId="2" borderId="13" xfId="0" applyFont="1" applyFill="1" applyBorder="1" applyAlignment="1">
      <alignment horizontal="left"/>
    </xf>
    <xf numFmtId="0" fontId="33" fillId="2" borderId="11" xfId="0" applyFont="1" applyFill="1" applyBorder="1" applyAlignment="1">
      <alignment horizontal="left"/>
    </xf>
    <xf numFmtId="0" fontId="50" fillId="2" borderId="0" xfId="0" applyFont="1" applyFill="1" applyBorder="1" applyAlignment="1">
      <alignment horizontal="left"/>
    </xf>
    <xf numFmtId="0" fontId="50" fillId="2" borderId="8" xfId="0" applyFont="1" applyFill="1" applyBorder="1" applyAlignment="1">
      <alignment horizontal="left"/>
    </xf>
    <xf numFmtId="0" fontId="50" fillId="2" borderId="1" xfId="0" applyFont="1" applyFill="1" applyBorder="1" applyAlignment="1">
      <alignment horizontal="left"/>
    </xf>
    <xf numFmtId="0" fontId="50" fillId="2" borderId="0" xfId="0" applyNumberFormat="1" applyFont="1" applyFill="1" applyBorder="1" applyAlignment="1">
      <alignment horizontal="left"/>
    </xf>
    <xf numFmtId="0" fontId="50" fillId="2" borderId="8" xfId="0" applyNumberFormat="1" applyFont="1" applyFill="1" applyBorder="1" applyAlignment="1">
      <alignment horizontal="left"/>
    </xf>
    <xf numFmtId="0" fontId="0" fillId="0" borderId="4" xfId="0" applyFill="1" applyBorder="1" applyAlignment="1">
      <alignment horizontal="left"/>
    </xf>
    <xf numFmtId="0" fontId="0" fillId="0" borderId="3" xfId="0" applyFill="1" applyBorder="1" applyAlignment="1">
      <alignment horizontal="left"/>
    </xf>
    <xf numFmtId="0" fontId="33" fillId="2" borderId="13" xfId="0" applyFont="1" applyFill="1" applyBorder="1"/>
    <xf numFmtId="0" fontId="33" fillId="2" borderId="11" xfId="0" applyFont="1" applyFill="1" applyBorder="1"/>
    <xf numFmtId="0" fontId="33" fillId="2" borderId="12" xfId="0" applyFont="1" applyFill="1" applyBorder="1"/>
    <xf numFmtId="0" fontId="0" fillId="2" borderId="2" xfId="0" applyFill="1" applyBorder="1" applyAlignment="1">
      <alignment horizontal="center"/>
    </xf>
    <xf numFmtId="0" fontId="0" fillId="2" borderId="3" xfId="0" applyFill="1" applyBorder="1" applyAlignment="1">
      <alignment horizontal="center"/>
    </xf>
    <xf numFmtId="14" fontId="0" fillId="2" borderId="1" xfId="0" applyNumberFormat="1" applyFill="1" applyBorder="1"/>
    <xf numFmtId="0" fontId="0" fillId="2" borderId="1" xfId="0" applyFill="1" applyBorder="1"/>
    <xf numFmtId="0" fontId="0" fillId="2" borderId="10" xfId="0" applyFill="1" applyBorder="1"/>
    <xf numFmtId="0" fontId="49" fillId="0" borderId="13" xfId="0" applyFont="1" applyBorder="1" applyAlignment="1">
      <alignment horizontal="center" vertical="center"/>
    </xf>
    <xf numFmtId="0" fontId="49" fillId="0" borderId="11" xfId="0" applyFont="1" applyBorder="1" applyAlignment="1">
      <alignment horizontal="center" vertical="center"/>
    </xf>
    <xf numFmtId="0" fontId="49" fillId="0" borderId="12" xfId="0" applyFont="1" applyBorder="1" applyAlignment="1">
      <alignment horizontal="center" vertical="center"/>
    </xf>
    <xf numFmtId="0" fontId="49" fillId="0" borderId="9" xfId="0" applyFont="1" applyBorder="1" applyAlignment="1">
      <alignment horizontal="center" vertical="center"/>
    </xf>
    <xf numFmtId="0" fontId="49" fillId="0" borderId="1" xfId="0" applyFont="1" applyBorder="1" applyAlignment="1">
      <alignment horizontal="center" vertical="center"/>
    </xf>
    <xf numFmtId="0" fontId="49" fillId="0" borderId="10" xfId="0" applyFont="1" applyBorder="1" applyAlignment="1">
      <alignment horizontal="center" vertical="center"/>
    </xf>
    <xf numFmtId="0" fontId="31" fillId="2" borderId="1" xfId="0" applyFont="1" applyFill="1" applyBorder="1"/>
    <xf numFmtId="0" fontId="31" fillId="2" borderId="10" xfId="0" applyFont="1" applyFill="1" applyBorder="1"/>
    <xf numFmtId="0" fontId="31" fillId="2" borderId="1" xfId="0" applyFont="1" applyFill="1" applyBorder="1" applyAlignment="1">
      <alignment horizontal="center"/>
    </xf>
    <xf numFmtId="0" fontId="31" fillId="2" borderId="10" xfId="0" applyFont="1" applyFill="1" applyBorder="1" applyAlignment="1">
      <alignment horizontal="center"/>
    </xf>
    <xf numFmtId="0" fontId="36" fillId="0" borderId="4" xfId="0" applyFont="1" applyBorder="1" applyAlignment="1">
      <alignment horizontal="center"/>
    </xf>
    <xf numFmtId="0" fontId="36" fillId="0" borderId="2" xfId="0" applyFont="1" applyBorder="1" applyAlignment="1">
      <alignment horizontal="center"/>
    </xf>
    <xf numFmtId="0" fontId="36" fillId="0" borderId="3" xfId="0" applyFont="1" applyBorder="1" applyAlignment="1">
      <alignment horizontal="center"/>
    </xf>
    <xf numFmtId="0" fontId="0" fillId="2" borderId="9" xfId="0" applyFill="1" applyBorder="1"/>
    <xf numFmtId="0" fontId="0" fillId="2" borderId="9" xfId="0" applyFill="1" applyBorder="1" applyAlignment="1">
      <alignment horizontal="center"/>
    </xf>
    <xf numFmtId="0" fontId="0" fillId="2" borderId="1" xfId="0" applyFill="1" applyBorder="1" applyAlignment="1">
      <alignment horizontal="center"/>
    </xf>
    <xf numFmtId="0" fontId="0" fillId="2" borderId="10" xfId="0" applyFill="1" applyBorder="1" applyAlignment="1">
      <alignment horizontal="center"/>
    </xf>
    <xf numFmtId="0" fontId="34" fillId="2" borderId="11" xfId="0" applyFont="1" applyFill="1" applyBorder="1"/>
    <xf numFmtId="0" fontId="34" fillId="2" borderId="12" xfId="0" applyFont="1" applyFill="1" applyBorder="1"/>
    <xf numFmtId="0" fontId="0" fillId="2" borderId="9" xfId="0" applyFill="1" applyBorder="1" applyAlignment="1">
      <alignment horizontal="left"/>
    </xf>
    <xf numFmtId="0" fontId="0" fillId="2" borderId="10" xfId="0" applyFill="1" applyBorder="1" applyAlignment="1">
      <alignment horizontal="left"/>
    </xf>
    <xf numFmtId="0" fontId="34" fillId="2" borderId="13" xfId="0" applyFont="1" applyFill="1" applyBorder="1"/>
    <xf numFmtId="0" fontId="0" fillId="2" borderId="1" xfId="0" applyFont="1" applyFill="1" applyBorder="1"/>
    <xf numFmtId="0" fontId="0" fillId="2" borderId="10" xfId="0" applyFont="1" applyFill="1" applyBorder="1"/>
    <xf numFmtId="0" fontId="36" fillId="2" borderId="4" xfId="0" applyFont="1" applyFill="1" applyBorder="1" applyAlignment="1">
      <alignment horizontal="center"/>
    </xf>
    <xf numFmtId="0" fontId="36" fillId="2" borderId="2" xfId="0" applyFont="1" applyFill="1" applyBorder="1" applyAlignment="1">
      <alignment horizontal="center"/>
    </xf>
    <xf numFmtId="0" fontId="36" fillId="2" borderId="3" xfId="0" applyFont="1" applyFill="1" applyBorder="1" applyAlignment="1">
      <alignment horizontal="center"/>
    </xf>
    <xf numFmtId="0" fontId="41" fillId="0" borderId="0" xfId="0" applyFont="1" applyBorder="1" applyAlignment="1">
      <alignment horizontal="left"/>
    </xf>
    <xf numFmtId="1" fontId="0" fillId="2" borderId="1" xfId="0" applyNumberFormat="1" applyFill="1" applyBorder="1"/>
    <xf numFmtId="1" fontId="0" fillId="2" borderId="10" xfId="0" applyNumberFormat="1" applyFill="1" applyBorder="1"/>
    <xf numFmtId="0" fontId="34" fillId="0" borderId="7" xfId="0" applyFont="1" applyBorder="1" applyAlignment="1">
      <alignment horizontal="center"/>
    </xf>
    <xf numFmtId="0" fontId="34" fillId="0" borderId="8" xfId="0" applyFont="1" applyBorder="1" applyAlignment="1">
      <alignment horizontal="center"/>
    </xf>
    <xf numFmtId="0" fontId="34" fillId="0" borderId="13" xfId="0" applyFont="1" applyBorder="1" applyAlignment="1">
      <alignment horizontal="center"/>
    </xf>
    <xf numFmtId="0" fontId="34" fillId="0" borderId="12" xfId="0" applyFont="1" applyBorder="1" applyAlignment="1">
      <alignment horizontal="center"/>
    </xf>
    <xf numFmtId="0" fontId="34" fillId="0" borderId="9" xfId="0" applyFont="1" applyBorder="1" applyAlignment="1">
      <alignment horizontal="center"/>
    </xf>
    <xf numFmtId="0" fontId="34" fillId="0" borderId="10" xfId="0" applyFont="1" applyBorder="1" applyAlignment="1">
      <alignment horizontal="center"/>
    </xf>
    <xf numFmtId="0" fontId="34" fillId="0" borderId="9" xfId="0" applyFont="1" applyBorder="1"/>
    <xf numFmtId="0" fontId="34" fillId="0" borderId="1" xfId="0" applyFont="1" applyBorder="1"/>
    <xf numFmtId="0" fontId="34" fillId="0" borderId="13" xfId="0" applyFont="1" applyBorder="1" applyAlignment="1">
      <alignment horizontal="center" vertical="center"/>
    </xf>
    <xf numFmtId="0" fontId="34" fillId="0" borderId="12" xfId="0" applyFont="1" applyBorder="1" applyAlignment="1">
      <alignment horizontal="center" vertical="center"/>
    </xf>
    <xf numFmtId="0" fontId="34" fillId="0" borderId="9" xfId="0" applyFont="1" applyBorder="1" applyAlignment="1">
      <alignment horizontal="center" vertical="center"/>
    </xf>
    <xf numFmtId="0" fontId="34" fillId="0" borderId="10" xfId="0" applyFont="1" applyBorder="1" applyAlignment="1">
      <alignment horizontal="center" vertical="center"/>
    </xf>
    <xf numFmtId="0" fontId="0" fillId="2" borderId="4" xfId="0" applyFill="1" applyBorder="1" applyAlignment="1">
      <alignment horizontal="center"/>
    </xf>
    <xf numFmtId="0" fontId="33" fillId="2" borderId="4" xfId="0" applyFont="1" applyFill="1" applyBorder="1" applyAlignment="1">
      <alignment horizontal="left" vertical="center"/>
    </xf>
    <xf numFmtId="0" fontId="33" fillId="2" borderId="3" xfId="0" applyFont="1" applyFill="1" applyBorder="1" applyAlignment="1">
      <alignment horizontal="left" vertical="center"/>
    </xf>
    <xf numFmtId="0" fontId="48" fillId="0" borderId="0" xfId="0" applyFont="1" applyAlignment="1">
      <alignment horizontal="center"/>
    </xf>
    <xf numFmtId="0" fontId="0" fillId="0" borderId="11" xfId="0" applyBorder="1" applyAlignment="1">
      <alignment horizontal="center"/>
    </xf>
    <xf numFmtId="0" fontId="51" fillId="2" borderId="13" xfId="0" applyFont="1" applyFill="1" applyBorder="1"/>
    <xf numFmtId="0" fontId="51" fillId="2" borderId="11" xfId="0" applyFont="1" applyFill="1" applyBorder="1"/>
    <xf numFmtId="0" fontId="51" fillId="2" borderId="12" xfId="0" applyFont="1" applyFill="1" applyBorder="1"/>
    <xf numFmtId="0" fontId="0" fillId="0" borderId="9" xfId="0" applyFill="1" applyBorder="1" applyAlignment="1">
      <alignment horizontal="center"/>
    </xf>
    <xf numFmtId="0" fontId="0" fillId="0" borderId="10" xfId="0" applyFill="1" applyBorder="1" applyAlignment="1">
      <alignment horizontal="center"/>
    </xf>
    <xf numFmtId="0" fontId="33" fillId="2" borderId="2" xfId="0" applyFont="1" applyFill="1" applyBorder="1" applyAlignment="1">
      <alignment horizontal="left" vertical="center"/>
    </xf>
    <xf numFmtId="0" fontId="8" fillId="10" borderId="69" xfId="0" applyFont="1" applyFill="1" applyBorder="1" applyAlignment="1">
      <alignment horizontal="center" vertical="center"/>
    </xf>
    <xf numFmtId="0" fontId="8" fillId="10" borderId="58" xfId="0" applyFont="1" applyFill="1" applyBorder="1" applyAlignment="1">
      <alignment horizontal="center" vertical="center"/>
    </xf>
    <xf numFmtId="0" fontId="8" fillId="10" borderId="59" xfId="0" applyFont="1" applyFill="1" applyBorder="1" applyAlignment="1">
      <alignment horizontal="center" vertical="center"/>
    </xf>
    <xf numFmtId="0" fontId="35" fillId="0" borderId="0" xfId="0" applyFont="1" applyBorder="1" applyAlignment="1">
      <alignment horizontal="right" vertical="center"/>
    </xf>
    <xf numFmtId="0" fontId="52" fillId="2" borderId="69" xfId="0" applyFont="1" applyFill="1" applyBorder="1" applyAlignment="1">
      <alignment horizontal="center" vertical="center"/>
    </xf>
    <xf numFmtId="0" fontId="52" fillId="2" borderId="58" xfId="0" applyFont="1" applyFill="1" applyBorder="1" applyAlignment="1">
      <alignment horizontal="center" vertical="center"/>
    </xf>
    <xf numFmtId="0" fontId="52" fillId="2" borderId="59" xfId="0" applyFont="1" applyFill="1" applyBorder="1" applyAlignment="1">
      <alignment horizontal="center" vertical="center"/>
    </xf>
    <xf numFmtId="0" fontId="34" fillId="0" borderId="1" xfId="0" applyFont="1" applyBorder="1" applyAlignment="1">
      <alignment horizontal="center"/>
    </xf>
    <xf numFmtId="0" fontId="34" fillId="0" borderId="11" xfId="0" applyFont="1" applyBorder="1" applyAlignment="1">
      <alignment horizontal="center"/>
    </xf>
    <xf numFmtId="0" fontId="34" fillId="0" borderId="0" xfId="0" applyFont="1" applyBorder="1" applyAlignment="1">
      <alignment horizontal="center"/>
    </xf>
    <xf numFmtId="164" fontId="0" fillId="0" borderId="71" xfId="0" applyNumberFormat="1" applyBorder="1" applyAlignment="1">
      <alignment horizontal="center"/>
    </xf>
    <xf numFmtId="0" fontId="0" fillId="0" borderId="8" xfId="0" applyBorder="1" applyAlignment="1">
      <alignment horizontal="center"/>
    </xf>
    <xf numFmtId="0" fontId="0" fillId="0" borderId="71" xfId="0" applyBorder="1" applyAlignment="1">
      <alignment horizontal="center"/>
    </xf>
    <xf numFmtId="1" fontId="5" fillId="0" borderId="7" xfId="1" applyNumberFormat="1" applyFont="1" applyBorder="1" applyAlignment="1" applyProtection="1">
      <alignment horizontal="center" vertical="center"/>
      <protection hidden="1"/>
    </xf>
    <xf numFmtId="1" fontId="5" fillId="0" borderId="0" xfId="1" applyNumberFormat="1" applyFont="1" applyBorder="1" applyAlignment="1" applyProtection="1">
      <alignment horizontal="center" vertical="center"/>
      <protection hidden="1"/>
    </xf>
    <xf numFmtId="164" fontId="5" fillId="0" borderId="71" xfId="1" applyNumberFormat="1" applyFont="1" applyBorder="1" applyAlignment="1" applyProtection="1">
      <alignment horizontal="center"/>
      <protection hidden="1"/>
    </xf>
    <xf numFmtId="2" fontId="5" fillId="0" borderId="7" xfId="1" applyNumberFormat="1" applyFont="1" applyBorder="1" applyAlignment="1" applyProtection="1">
      <alignment horizontal="center"/>
      <protection hidden="1"/>
    </xf>
    <xf numFmtId="2" fontId="5" fillId="0" borderId="0" xfId="1" applyNumberFormat="1" applyFont="1" applyBorder="1" applyAlignment="1" applyProtection="1">
      <alignment horizontal="center"/>
      <protection hidden="1"/>
    </xf>
    <xf numFmtId="2" fontId="5" fillId="0" borderId="8" xfId="1" applyNumberFormat="1" applyFont="1" applyBorder="1" applyAlignment="1" applyProtection="1">
      <alignment horizontal="center"/>
      <protection hidden="1"/>
    </xf>
    <xf numFmtId="1" fontId="97" fillId="0" borderId="7" xfId="1" applyNumberFormat="1" applyFont="1" applyBorder="1" applyAlignment="1" applyProtection="1">
      <alignment horizontal="center" vertical="center"/>
      <protection hidden="1"/>
    </xf>
    <xf numFmtId="1" fontId="97" fillId="0" borderId="0" xfId="1" applyNumberFormat="1" applyFont="1" applyBorder="1" applyAlignment="1" applyProtection="1">
      <alignment horizontal="center" vertical="center"/>
      <protection hidden="1"/>
    </xf>
    <xf numFmtId="0" fontId="103" fillId="0" borderId="0" xfId="0" applyFont="1" applyAlignment="1">
      <alignment horizontal="left" vertical="center" wrapText="1"/>
    </xf>
    <xf numFmtId="0" fontId="0" fillId="0" borderId="0" xfId="0" applyFont="1" applyAlignment="1">
      <alignment horizontal="center"/>
    </xf>
    <xf numFmtId="0" fontId="0" fillId="0" borderId="8" xfId="0" applyFont="1" applyBorder="1" applyAlignment="1">
      <alignment horizontal="center"/>
    </xf>
    <xf numFmtId="166" fontId="5" fillId="0" borderId="7" xfId="1" applyNumberFormat="1" applyFont="1" applyBorder="1" applyAlignment="1" applyProtection="1">
      <alignment horizontal="center"/>
      <protection hidden="1"/>
    </xf>
    <xf numFmtId="166" fontId="5" fillId="0" borderId="0" xfId="1" applyNumberFormat="1" applyFont="1" applyBorder="1" applyAlignment="1" applyProtection="1">
      <alignment horizontal="center"/>
      <protection hidden="1"/>
    </xf>
    <xf numFmtId="166" fontId="5" fillId="0" borderId="8" xfId="1" applyNumberFormat="1" applyFont="1" applyBorder="1" applyAlignment="1" applyProtection="1">
      <alignment horizontal="center"/>
      <protection hidden="1"/>
    </xf>
    <xf numFmtId="165" fontId="5" fillId="0" borderId="7" xfId="1" applyNumberFormat="1" applyFont="1" applyBorder="1" applyAlignment="1" applyProtection="1">
      <alignment horizontal="center"/>
      <protection hidden="1"/>
    </xf>
    <xf numFmtId="165" fontId="5" fillId="0" borderId="0" xfId="1" applyNumberFormat="1" applyFont="1" applyBorder="1" applyAlignment="1" applyProtection="1">
      <alignment horizontal="center"/>
      <protection hidden="1"/>
    </xf>
    <xf numFmtId="165" fontId="5" fillId="0" borderId="8" xfId="1" applyNumberFormat="1" applyFont="1" applyBorder="1" applyAlignment="1" applyProtection="1">
      <alignment horizontal="center"/>
      <protection hidden="1"/>
    </xf>
    <xf numFmtId="165" fontId="5" fillId="0" borderId="71" xfId="1" applyNumberFormat="1" applyFont="1" applyBorder="1" applyAlignment="1" applyProtection="1">
      <alignment horizontal="center"/>
      <protection hidden="1"/>
    </xf>
    <xf numFmtId="0" fontId="5" fillId="0" borderId="0" xfId="1" applyFont="1" applyBorder="1" applyAlignment="1" applyProtection="1">
      <alignment horizontal="center" vertical="center"/>
      <protection hidden="1"/>
    </xf>
    <xf numFmtId="0" fontId="0" fillId="0" borderId="1" xfId="0" applyFont="1" applyBorder="1" applyAlignment="1">
      <alignment horizontal="center"/>
    </xf>
    <xf numFmtId="0" fontId="0" fillId="0" borderId="10" xfId="0" applyFont="1" applyBorder="1" applyAlignment="1">
      <alignment horizontal="center"/>
    </xf>
    <xf numFmtId="166" fontId="5" fillId="0" borderId="9" xfId="1" applyNumberFormat="1" applyFont="1" applyBorder="1" applyAlignment="1" applyProtection="1">
      <alignment horizontal="center"/>
      <protection hidden="1"/>
    </xf>
    <xf numFmtId="166" fontId="5" fillId="0" borderId="1" xfId="1" applyNumberFormat="1" applyFont="1" applyBorder="1" applyAlignment="1" applyProtection="1">
      <alignment horizontal="center"/>
      <protection hidden="1"/>
    </xf>
    <xf numFmtId="166" fontId="5" fillId="0" borderId="10" xfId="1" applyNumberFormat="1" applyFont="1" applyBorder="1" applyAlignment="1" applyProtection="1">
      <alignment horizontal="center"/>
      <protection hidden="1"/>
    </xf>
    <xf numFmtId="165" fontId="5" fillId="0" borderId="9" xfId="1" applyNumberFormat="1" applyFont="1" applyBorder="1" applyAlignment="1" applyProtection="1">
      <alignment horizontal="center"/>
      <protection hidden="1"/>
    </xf>
    <xf numFmtId="165" fontId="5" fillId="0" borderId="1" xfId="1" applyNumberFormat="1" applyFont="1" applyBorder="1" applyAlignment="1" applyProtection="1">
      <alignment horizontal="center"/>
      <protection hidden="1"/>
    </xf>
    <xf numFmtId="165" fontId="5" fillId="0" borderId="10" xfId="1" applyNumberFormat="1" applyFont="1" applyBorder="1" applyAlignment="1" applyProtection="1">
      <alignment horizontal="center"/>
      <protection hidden="1"/>
    </xf>
    <xf numFmtId="165" fontId="5" fillId="0" borderId="6" xfId="1" applyNumberFormat="1" applyFont="1" applyBorder="1" applyAlignment="1" applyProtection="1">
      <alignment horizontal="center"/>
      <protection hidden="1"/>
    </xf>
    <xf numFmtId="164" fontId="5" fillId="0" borderId="6" xfId="1" applyNumberFormat="1" applyFont="1" applyBorder="1" applyAlignment="1" applyProtection="1">
      <alignment horizontal="center"/>
      <protection hidden="1"/>
    </xf>
    <xf numFmtId="1" fontId="5" fillId="0" borderId="9" xfId="1" applyNumberFormat="1" applyFont="1" applyBorder="1" applyAlignment="1" applyProtection="1">
      <alignment horizontal="center" vertical="center"/>
      <protection hidden="1"/>
    </xf>
    <xf numFmtId="0" fontId="5" fillId="0" borderId="1" xfId="1" applyFont="1" applyBorder="1" applyAlignment="1" applyProtection="1">
      <alignment horizontal="center" vertical="center"/>
      <protection hidden="1"/>
    </xf>
    <xf numFmtId="0" fontId="80" fillId="0" borderId="0" xfId="1" applyFont="1" applyBorder="1" applyAlignment="1" applyProtection="1">
      <alignment horizontal="center" vertical="center"/>
      <protection hidden="1"/>
    </xf>
    <xf numFmtId="0" fontId="61" fillId="0" borderId="0" xfId="1" applyFont="1" applyAlignment="1" applyProtection="1">
      <alignment horizontal="center" vertical="center"/>
      <protection hidden="1"/>
    </xf>
    <xf numFmtId="0" fontId="62" fillId="0" borderId="0" xfId="1" applyFont="1" applyAlignment="1" applyProtection="1">
      <alignment horizontal="left" vertical="center"/>
      <protection hidden="1"/>
    </xf>
    <xf numFmtId="0" fontId="53" fillId="0" borderId="0" xfId="1" applyFont="1" applyAlignment="1" applyProtection="1">
      <alignment horizontal="center" vertical="top" wrapText="1"/>
      <protection hidden="1"/>
    </xf>
    <xf numFmtId="0" fontId="8" fillId="5" borderId="1" xfId="1" applyFont="1" applyFill="1" applyBorder="1" applyAlignment="1" applyProtection="1">
      <alignment horizontal="left" vertical="center"/>
      <protection hidden="1"/>
    </xf>
    <xf numFmtId="0" fontId="89" fillId="5" borderId="11" xfId="0" applyFont="1" applyFill="1" applyBorder="1" applyAlignment="1">
      <alignment horizontal="center" vertical="center" wrapText="1"/>
    </xf>
    <xf numFmtId="0" fontId="89" fillId="5" borderId="12" xfId="0" applyFont="1" applyFill="1" applyBorder="1" applyAlignment="1">
      <alignment horizontal="center" vertical="center" wrapText="1"/>
    </xf>
    <xf numFmtId="0" fontId="89" fillId="5" borderId="0" xfId="0" applyFont="1" applyFill="1" applyBorder="1" applyAlignment="1">
      <alignment horizontal="center" vertical="center" wrapText="1"/>
    </xf>
    <xf numFmtId="0" fontId="89" fillId="5" borderId="8" xfId="0" applyFont="1" applyFill="1" applyBorder="1" applyAlignment="1">
      <alignment horizontal="center" vertical="center" wrapText="1"/>
    </xf>
    <xf numFmtId="0" fontId="89" fillId="5" borderId="13" xfId="0" applyFont="1" applyFill="1" applyBorder="1" applyAlignment="1">
      <alignment horizontal="center" vertical="center" wrapText="1"/>
    </xf>
    <xf numFmtId="0" fontId="89" fillId="5" borderId="7" xfId="0" applyFont="1" applyFill="1" applyBorder="1" applyAlignment="1">
      <alignment horizontal="center" vertical="center" wrapText="1"/>
    </xf>
    <xf numFmtId="0" fontId="63" fillId="5" borderId="71" xfId="1" applyFont="1" applyFill="1" applyBorder="1" applyAlignment="1" applyProtection="1">
      <alignment horizontal="center"/>
      <protection hidden="1"/>
    </xf>
    <xf numFmtId="0" fontId="8" fillId="5" borderId="71" xfId="1" applyFont="1" applyFill="1" applyBorder="1" applyAlignment="1" applyProtection="1">
      <alignment horizontal="center"/>
      <protection hidden="1"/>
    </xf>
    <xf numFmtId="0" fontId="8" fillId="5" borderId="7" xfId="1" applyFont="1" applyFill="1" applyBorder="1" applyAlignment="1" applyProtection="1">
      <alignment horizontal="center"/>
      <protection hidden="1"/>
    </xf>
    <xf numFmtId="0" fontId="8" fillId="5" borderId="0" xfId="1" applyFont="1" applyFill="1" applyBorder="1" applyAlignment="1" applyProtection="1">
      <alignment horizontal="center"/>
      <protection hidden="1"/>
    </xf>
    <xf numFmtId="0" fontId="11" fillId="5" borderId="7" xfId="1" applyFont="1" applyFill="1" applyBorder="1" applyAlignment="1" applyProtection="1">
      <alignment horizontal="center"/>
      <protection hidden="1"/>
    </xf>
    <xf numFmtId="0" fontId="11" fillId="5" borderId="0" xfId="1" applyFont="1" applyFill="1" applyBorder="1" applyAlignment="1" applyProtection="1">
      <alignment horizontal="center"/>
      <protection hidden="1"/>
    </xf>
    <xf numFmtId="166" fontId="5" fillId="0" borderId="71" xfId="1" applyNumberFormat="1" applyFont="1" applyBorder="1" applyAlignment="1" applyProtection="1">
      <alignment horizontal="center"/>
      <protection hidden="1"/>
    </xf>
    <xf numFmtId="0" fontId="80" fillId="0" borderId="0" xfId="1" applyFont="1" applyAlignment="1" applyProtection="1">
      <alignment horizontal="center"/>
      <protection hidden="1"/>
    </xf>
    <xf numFmtId="165" fontId="63" fillId="0" borderId="11" xfId="1" applyNumberFormat="1" applyFont="1" applyBorder="1" applyAlignment="1" applyProtection="1">
      <alignment horizontal="left" vertical="center"/>
      <protection hidden="1"/>
    </xf>
    <xf numFmtId="166" fontId="5" fillId="0" borderId="6" xfId="1" applyNumberFormat="1" applyFont="1" applyBorder="1" applyAlignment="1" applyProtection="1">
      <alignment horizontal="center"/>
      <protection hidden="1"/>
    </xf>
    <xf numFmtId="0" fontId="80" fillId="0" borderId="0" xfId="1" applyFont="1" applyAlignment="1" applyProtection="1">
      <alignment horizontal="center" vertical="top"/>
      <protection hidden="1"/>
    </xf>
    <xf numFmtId="165" fontId="1" fillId="0" borderId="0" xfId="1" applyNumberFormat="1" applyFont="1" applyAlignment="1" applyProtection="1">
      <alignment horizontal="left" vertical="center"/>
      <protection hidden="1"/>
    </xf>
    <xf numFmtId="165" fontId="77" fillId="0" borderId="0" xfId="1" applyNumberFormat="1" applyFont="1" applyAlignment="1" applyProtection="1">
      <alignment horizontal="left" vertical="center"/>
      <protection hidden="1"/>
    </xf>
    <xf numFmtId="0" fontId="1" fillId="0" borderId="0" xfId="1" applyFont="1" applyAlignment="1" applyProtection="1">
      <alignment horizontal="center" vertical="center"/>
      <protection hidden="1"/>
    </xf>
    <xf numFmtId="0" fontId="63" fillId="0" borderId="0" xfId="1" applyFont="1" applyAlignment="1" applyProtection="1">
      <alignment horizontal="center" vertical="center" wrapText="1"/>
      <protection hidden="1"/>
    </xf>
    <xf numFmtId="0" fontId="0" fillId="0" borderId="0" xfId="0" applyAlignment="1" applyProtection="1">
      <alignment horizontal="center"/>
      <protection hidden="1"/>
    </xf>
    <xf numFmtId="0" fontId="0" fillId="0" borderId="56" xfId="0" applyBorder="1" applyAlignment="1" applyProtection="1">
      <alignment horizontal="center"/>
      <protection hidden="1"/>
    </xf>
    <xf numFmtId="0" fontId="8" fillId="0" borderId="30" xfId="1" applyFont="1" applyBorder="1" applyAlignment="1" applyProtection="1">
      <alignment horizontal="center"/>
      <protection hidden="1"/>
    </xf>
    <xf numFmtId="0" fontId="89" fillId="5" borderId="71" xfId="0" applyFont="1" applyFill="1" applyBorder="1" applyAlignment="1">
      <alignment horizontal="center" vertical="center" wrapText="1"/>
    </xf>
    <xf numFmtId="0" fontId="74" fillId="0" borderId="33" xfId="1" applyFont="1" applyBorder="1" applyAlignment="1" applyProtection="1">
      <alignment horizontal="right" vertical="center"/>
      <protection hidden="1"/>
    </xf>
    <xf numFmtId="1" fontId="97" fillId="0" borderId="9" xfId="1" applyNumberFormat="1" applyFont="1" applyBorder="1" applyAlignment="1" applyProtection="1">
      <alignment horizontal="center" vertical="center"/>
      <protection hidden="1"/>
    </xf>
    <xf numFmtId="1" fontId="97" fillId="0" borderId="1" xfId="1" applyNumberFormat="1" applyFont="1" applyBorder="1" applyAlignment="1" applyProtection="1">
      <alignment horizontal="center" vertical="center"/>
      <protection hidden="1"/>
    </xf>
    <xf numFmtId="0" fontId="8" fillId="7" borderId="0" xfId="1" applyFont="1" applyFill="1" applyBorder="1" applyAlignment="1" applyProtection="1">
      <alignment horizontal="center" vertical="center"/>
      <protection hidden="1"/>
    </xf>
    <xf numFmtId="0" fontId="0" fillId="0" borderId="10" xfId="0" applyBorder="1" applyAlignment="1">
      <alignment horizontal="center"/>
    </xf>
    <xf numFmtId="0" fontId="0" fillId="0" borderId="6" xfId="0" applyBorder="1" applyAlignment="1">
      <alignment horizontal="center"/>
    </xf>
    <xf numFmtId="2" fontId="5" fillId="0" borderId="71" xfId="1" applyNumberFormat="1" applyFont="1" applyBorder="1" applyAlignment="1" applyProtection="1">
      <alignment horizontal="center"/>
      <protection hidden="1"/>
    </xf>
    <xf numFmtId="0" fontId="1" fillId="0" borderId="32" xfId="0" applyFont="1" applyBorder="1" applyAlignment="1" applyProtection="1">
      <alignment horizontal="right" vertical="center"/>
      <protection hidden="1"/>
    </xf>
    <xf numFmtId="0" fontId="1" fillId="0" borderId="33" xfId="0" applyFont="1" applyBorder="1" applyAlignment="1" applyProtection="1">
      <alignment horizontal="right" vertical="center"/>
      <protection hidden="1"/>
    </xf>
    <xf numFmtId="0" fontId="21" fillId="0" borderId="33" xfId="0" quotePrefix="1" applyFont="1" applyBorder="1" applyAlignment="1" applyProtection="1">
      <alignment horizontal="center" vertical="center"/>
      <protection hidden="1"/>
    </xf>
    <xf numFmtId="0" fontId="21" fillId="0" borderId="33" xfId="0" applyFont="1" applyBorder="1" applyAlignment="1" applyProtection="1">
      <alignment horizontal="center" vertical="center"/>
      <protection hidden="1"/>
    </xf>
    <xf numFmtId="0" fontId="1" fillId="0" borderId="56" xfId="0" applyFont="1" applyBorder="1" applyAlignment="1" applyProtection="1">
      <alignment horizontal="right" vertical="center"/>
      <protection hidden="1"/>
    </xf>
    <xf numFmtId="0" fontId="1" fillId="0" borderId="0" xfId="0" applyFont="1" applyBorder="1" applyAlignment="1" applyProtection="1">
      <alignment horizontal="right" vertical="center"/>
      <protection hidden="1"/>
    </xf>
    <xf numFmtId="0" fontId="106" fillId="0" borderId="0" xfId="0" applyFont="1" applyFill="1" applyAlignment="1" applyProtection="1">
      <alignment horizontal="right" vertical="center"/>
      <protection hidden="1"/>
    </xf>
    <xf numFmtId="0" fontId="1" fillId="0" borderId="0" xfId="0" quotePrefix="1" applyFont="1" applyFill="1" applyAlignment="1" applyProtection="1">
      <alignment horizontal="left" vertical="center"/>
      <protection hidden="1"/>
    </xf>
    <xf numFmtId="0" fontId="1" fillId="0" borderId="0" xfId="0" applyFont="1" applyFill="1" applyAlignment="1" applyProtection="1">
      <alignment horizontal="center" vertical="center"/>
      <protection hidden="1"/>
    </xf>
    <xf numFmtId="1" fontId="1" fillId="0" borderId="0" xfId="0" applyNumberFormat="1" applyFont="1" applyFill="1" applyAlignment="1" applyProtection="1">
      <alignment horizontal="center" vertical="center"/>
      <protection hidden="1"/>
    </xf>
    <xf numFmtId="17" fontId="1" fillId="0" borderId="0" xfId="0" applyNumberFormat="1" applyFont="1" applyFill="1" applyAlignment="1" applyProtection="1">
      <alignment horizontal="center" vertical="center"/>
      <protection hidden="1"/>
    </xf>
    <xf numFmtId="0" fontId="32" fillId="0" borderId="33" xfId="0" applyFont="1" applyBorder="1" applyAlignment="1" applyProtection="1">
      <alignment horizontal="right" vertical="center"/>
      <protection hidden="1"/>
    </xf>
    <xf numFmtId="0" fontId="52" fillId="0" borderId="33" xfId="0" applyFont="1" applyBorder="1" applyAlignment="1" applyProtection="1">
      <alignment horizontal="center"/>
      <protection hidden="1"/>
    </xf>
    <xf numFmtId="0" fontId="74" fillId="0" borderId="0" xfId="0" applyFont="1" applyAlignment="1" applyProtection="1">
      <alignment horizontal="center" vertical="center"/>
      <protection hidden="1"/>
    </xf>
    <xf numFmtId="0" fontId="63" fillId="0" borderId="0" xfId="1" applyFont="1" applyAlignment="1" applyProtection="1">
      <alignment horizontal="center"/>
      <protection hidden="1"/>
    </xf>
    <xf numFmtId="164" fontId="79" fillId="0" borderId="0" xfId="1" applyNumberFormat="1" applyFont="1" applyAlignment="1" applyProtection="1">
      <alignment horizontal="center" vertical="center"/>
      <protection hidden="1"/>
    </xf>
    <xf numFmtId="164" fontId="1" fillId="0" borderId="0" xfId="1" applyNumberFormat="1" applyFont="1" applyAlignment="1" applyProtection="1">
      <alignment horizontal="right" vertical="center"/>
      <protection hidden="1"/>
    </xf>
    <xf numFmtId="0" fontId="1" fillId="0" borderId="0" xfId="1" applyFont="1" applyAlignment="1" applyProtection="1">
      <alignment horizontal="left" vertical="center"/>
      <protection hidden="1"/>
    </xf>
    <xf numFmtId="0" fontId="79" fillId="0" borderId="0" xfId="1" applyFont="1" applyAlignment="1" applyProtection="1">
      <alignment horizontal="center" vertical="center"/>
      <protection hidden="1"/>
    </xf>
    <xf numFmtId="0" fontId="1" fillId="0" borderId="0" xfId="1" applyNumberFormat="1" applyFont="1" applyAlignment="1" applyProtection="1">
      <alignment horizontal="right" vertical="center"/>
      <protection hidden="1"/>
    </xf>
    <xf numFmtId="164" fontId="1" fillId="0" borderId="0" xfId="1" applyNumberFormat="1" applyFont="1" applyAlignment="1" applyProtection="1">
      <alignment horizontal="left" vertical="center"/>
      <protection hidden="1"/>
    </xf>
    <xf numFmtId="0" fontId="63" fillId="0" borderId="0" xfId="1" applyFont="1" applyAlignment="1" applyProtection="1">
      <alignment horizontal="center" vertical="top"/>
      <protection hidden="1"/>
    </xf>
    <xf numFmtId="164" fontId="1" fillId="0" borderId="0" xfId="1" applyNumberFormat="1" applyFont="1" applyFill="1" applyAlignment="1" applyProtection="1">
      <alignment horizontal="right" vertical="center"/>
      <protection hidden="1"/>
    </xf>
    <xf numFmtId="0" fontId="60" fillId="0" borderId="0" xfId="1" applyFont="1" applyAlignment="1" applyProtection="1">
      <alignment horizontal="center"/>
      <protection hidden="1"/>
    </xf>
    <xf numFmtId="0" fontId="1" fillId="0" borderId="0" xfId="0" applyFont="1" applyFill="1" applyAlignment="1" applyProtection="1">
      <alignment horizontal="right" vertical="center"/>
      <protection hidden="1"/>
    </xf>
    <xf numFmtId="0" fontId="74" fillId="0" borderId="33" xfId="0" applyFont="1" applyBorder="1" applyAlignment="1" applyProtection="1">
      <alignment horizontal="center"/>
      <protection hidden="1"/>
    </xf>
    <xf numFmtId="0" fontId="63" fillId="0" borderId="0" xfId="0" applyFont="1" applyAlignment="1" applyProtection="1">
      <alignment horizontal="center" vertical="center"/>
      <protection hidden="1"/>
    </xf>
    <xf numFmtId="0" fontId="63" fillId="0" borderId="0" xfId="0" applyFont="1" applyAlignment="1" applyProtection="1">
      <alignment horizontal="left" vertical="center"/>
      <protection hidden="1"/>
    </xf>
    <xf numFmtId="0" fontId="63" fillId="0" borderId="33" xfId="1" applyFont="1" applyBorder="1" applyAlignment="1" applyProtection="1">
      <alignment horizontal="right" vertical="center" wrapText="1"/>
      <protection hidden="1"/>
    </xf>
    <xf numFmtId="0" fontId="63" fillId="3" borderId="32" xfId="1" applyFont="1" applyFill="1" applyBorder="1" applyAlignment="1" applyProtection="1">
      <alignment horizontal="right" vertical="center"/>
      <protection hidden="1"/>
    </xf>
    <xf numFmtId="0" fontId="63" fillId="3" borderId="33" xfId="1" applyFont="1" applyFill="1" applyBorder="1" applyAlignment="1" applyProtection="1">
      <alignment horizontal="right" vertical="center"/>
      <protection hidden="1"/>
    </xf>
    <xf numFmtId="0" fontId="63" fillId="0" borderId="33" xfId="1" applyFont="1" applyBorder="1" applyAlignment="1" applyProtection="1">
      <alignment horizontal="right" vertical="center"/>
      <protection hidden="1"/>
    </xf>
    <xf numFmtId="0" fontId="5" fillId="0" borderId="33" xfId="1" applyFill="1" applyBorder="1" applyAlignment="1" applyProtection="1">
      <alignment horizontal="left" vertical="center"/>
      <protection hidden="1"/>
    </xf>
    <xf numFmtId="0" fontId="0" fillId="0" borderId="33" xfId="0" applyBorder="1" applyAlignment="1" applyProtection="1">
      <alignment horizontal="left" vertical="center"/>
      <protection hidden="1"/>
    </xf>
    <xf numFmtId="0" fontId="90" fillId="0" borderId="0" xfId="0" applyFont="1" applyAlignment="1" applyProtection="1">
      <alignment horizontal="left"/>
      <protection hidden="1"/>
    </xf>
    <xf numFmtId="0" fontId="89" fillId="0" borderId="56" xfId="0" applyFont="1" applyBorder="1" applyAlignment="1">
      <alignment horizontal="center"/>
    </xf>
    <xf numFmtId="0" fontId="89" fillId="0" borderId="0" xfId="0" applyFont="1" applyBorder="1" applyAlignment="1">
      <alignment horizontal="center"/>
    </xf>
    <xf numFmtId="0" fontId="89" fillId="0" borderId="56" xfId="0" applyFont="1" applyBorder="1" applyAlignment="1" applyProtection="1">
      <alignment horizontal="center"/>
      <protection hidden="1"/>
    </xf>
    <xf numFmtId="0" fontId="89" fillId="0" borderId="0" xfId="0" applyFont="1" applyBorder="1" applyAlignment="1" applyProtection="1">
      <alignment horizontal="center"/>
      <protection hidden="1"/>
    </xf>
    <xf numFmtId="0" fontId="90" fillId="0" borderId="0" xfId="0" applyFont="1" applyAlignment="1">
      <alignment horizontal="left"/>
    </xf>
    <xf numFmtId="0" fontId="63" fillId="0" borderId="56" xfId="1" applyFont="1" applyBorder="1" applyAlignment="1" applyProtection="1">
      <alignment horizontal="right" vertical="center"/>
      <protection hidden="1"/>
    </xf>
    <xf numFmtId="0" fontId="63" fillId="0" borderId="0" xfId="1" applyFont="1" applyBorder="1" applyAlignment="1" applyProtection="1">
      <alignment horizontal="right" vertical="center"/>
      <protection hidden="1"/>
    </xf>
    <xf numFmtId="0" fontId="63" fillId="0" borderId="0" xfId="1" applyFont="1" applyAlignment="1" applyProtection="1">
      <alignment horizontal="right" vertical="center"/>
      <protection hidden="1"/>
    </xf>
    <xf numFmtId="0" fontId="5" fillId="0" borderId="0" xfId="1" applyFont="1" applyFill="1" applyAlignment="1" applyProtection="1">
      <alignment horizontal="left" vertical="center"/>
      <protection hidden="1"/>
    </xf>
    <xf numFmtId="0" fontId="5" fillId="0" borderId="0" xfId="1" applyFill="1" applyAlignment="1" applyProtection="1">
      <alignment horizontal="left" vertical="center"/>
      <protection hidden="1"/>
    </xf>
    <xf numFmtId="0" fontId="90" fillId="0" borderId="0" xfId="0" applyFont="1" applyAlignment="1">
      <alignment horizontal="left" vertical="center"/>
    </xf>
    <xf numFmtId="0" fontId="90" fillId="0" borderId="0" xfId="0" applyFont="1" applyBorder="1" applyAlignment="1" applyProtection="1">
      <alignment horizontal="left"/>
      <protection hidden="1"/>
    </xf>
    <xf numFmtId="0" fontId="89" fillId="0" borderId="0" xfId="0" applyFont="1" applyBorder="1" applyAlignment="1" applyProtection="1">
      <alignment horizontal="right"/>
      <protection hidden="1"/>
    </xf>
    <xf numFmtId="14" fontId="5" fillId="0" borderId="0" xfId="1" applyNumberFormat="1" applyAlignment="1" applyProtection="1">
      <alignment horizontal="left" vertical="center"/>
      <protection hidden="1"/>
    </xf>
    <xf numFmtId="0" fontId="74" fillId="0" borderId="0" xfId="1" applyFont="1" applyAlignment="1" applyProtection="1">
      <alignment horizontal="center"/>
      <protection hidden="1"/>
    </xf>
    <xf numFmtId="0" fontId="63" fillId="0" borderId="29" xfId="1" applyFont="1" applyBorder="1" applyAlignment="1" applyProtection="1">
      <alignment horizontal="right" vertical="center"/>
      <protection hidden="1"/>
    </xf>
    <xf numFmtId="0" fontId="63" fillId="0" borderId="30" xfId="1" applyFont="1" applyBorder="1" applyAlignment="1" applyProtection="1">
      <alignment horizontal="right" vertical="center"/>
      <protection hidden="1"/>
    </xf>
    <xf numFmtId="0" fontId="5" fillId="0" borderId="30" xfId="1" applyFill="1" applyBorder="1" applyAlignment="1" applyProtection="1">
      <alignment horizontal="left" vertical="center"/>
      <protection hidden="1"/>
    </xf>
    <xf numFmtId="1" fontId="90" fillId="0" borderId="30" xfId="0" applyNumberFormat="1" applyFont="1" applyFill="1" applyBorder="1" applyAlignment="1" applyProtection="1">
      <alignment horizontal="left" vertical="center"/>
      <protection hidden="1"/>
    </xf>
    <xf numFmtId="2" fontId="5" fillId="0" borderId="30" xfId="1" applyNumberFormat="1" applyFont="1" applyFill="1" applyBorder="1" applyAlignment="1" applyProtection="1">
      <alignment horizontal="left" vertical="center"/>
      <protection hidden="1"/>
    </xf>
    <xf numFmtId="0" fontId="8" fillId="0" borderId="0" xfId="1" applyFont="1" applyAlignment="1" applyProtection="1">
      <alignment horizontal="left" vertical="center"/>
      <protection hidden="1"/>
    </xf>
    <xf numFmtId="0" fontId="73" fillId="0" borderId="0" xfId="1" applyFont="1" applyAlignment="1" applyProtection="1">
      <alignment horizontal="left" vertical="center"/>
      <protection hidden="1"/>
    </xf>
    <xf numFmtId="169" fontId="5" fillId="0" borderId="0" xfId="1" applyNumberFormat="1" applyAlignment="1" applyProtection="1">
      <alignment horizontal="left" vertical="center"/>
      <protection hidden="1"/>
    </xf>
    <xf numFmtId="0" fontId="63" fillId="0" borderId="0" xfId="1" applyFont="1" applyAlignment="1" applyProtection="1">
      <alignment horizontal="left"/>
      <protection hidden="1"/>
    </xf>
    <xf numFmtId="0" fontId="105" fillId="0" borderId="0" xfId="1" quotePrefix="1" applyFont="1" applyAlignment="1" applyProtection="1">
      <alignment horizontal="left"/>
      <protection hidden="1"/>
    </xf>
    <xf numFmtId="170" fontId="63" fillId="0" borderId="0" xfId="1" applyNumberFormat="1" applyFont="1" applyAlignment="1" applyProtection="1">
      <alignment horizontal="center"/>
      <protection hidden="1"/>
    </xf>
    <xf numFmtId="0" fontId="60" fillId="0" borderId="0" xfId="1" applyFont="1" applyAlignment="1" applyProtection="1">
      <alignment horizontal="right" vertical="center"/>
      <protection hidden="1"/>
    </xf>
    <xf numFmtId="0" fontId="104" fillId="0" borderId="0" xfId="1" applyFont="1" applyAlignment="1" applyProtection="1">
      <alignment horizontal="left" vertical="center"/>
      <protection hidden="1"/>
    </xf>
    <xf numFmtId="0" fontId="69" fillId="3" borderId="0" xfId="0" applyFont="1" applyFill="1" applyAlignment="1" applyProtection="1">
      <alignment horizontal="center" vertical="center"/>
      <protection hidden="1"/>
    </xf>
    <xf numFmtId="2" fontId="0" fillId="0" borderId="71" xfId="0" applyNumberFormat="1" applyBorder="1" applyAlignment="1">
      <alignment horizontal="center"/>
    </xf>
    <xf numFmtId="1" fontId="98" fillId="0" borderId="71" xfId="0" applyNumberFormat="1" applyFont="1" applyBorder="1" applyAlignment="1">
      <alignment horizontal="center"/>
    </xf>
    <xf numFmtId="0" fontId="98" fillId="0" borderId="71" xfId="0" applyFont="1" applyBorder="1" applyAlignment="1">
      <alignment horizontal="center"/>
    </xf>
    <xf numFmtId="0" fontId="98" fillId="0" borderId="7" xfId="0" applyFont="1" applyBorder="1" applyAlignment="1">
      <alignment horizontal="center"/>
    </xf>
    <xf numFmtId="164" fontId="0" fillId="0" borderId="6" xfId="0" applyNumberFormat="1" applyBorder="1" applyAlignment="1">
      <alignment horizontal="center"/>
    </xf>
    <xf numFmtId="2" fontId="5" fillId="0" borderId="6" xfId="1" applyNumberFormat="1" applyFont="1" applyBorder="1" applyAlignment="1" applyProtection="1">
      <alignment horizontal="center"/>
      <protection hidden="1"/>
    </xf>
    <xf numFmtId="0" fontId="34" fillId="5" borderId="32" xfId="0" applyFont="1" applyFill="1" applyBorder="1" applyAlignment="1">
      <alignment horizontal="left" vertical="center"/>
    </xf>
    <xf numFmtId="0" fontId="34" fillId="5" borderId="33" xfId="0" applyFont="1" applyFill="1" applyBorder="1" applyAlignment="1">
      <alignment horizontal="left" vertical="center"/>
    </xf>
    <xf numFmtId="0" fontId="34" fillId="5" borderId="65" xfId="0" applyFont="1" applyFill="1" applyBorder="1" applyAlignment="1">
      <alignment horizontal="left" vertical="center"/>
    </xf>
    <xf numFmtId="0" fontId="35" fillId="5" borderId="29" xfId="0" applyFont="1" applyFill="1" applyBorder="1" applyAlignment="1">
      <alignment horizontal="center" vertical="center" wrapText="1"/>
    </xf>
    <xf numFmtId="0" fontId="35" fillId="5" borderId="30" xfId="0" applyFont="1" applyFill="1" applyBorder="1" applyAlignment="1">
      <alignment horizontal="center" vertical="center" wrapText="1"/>
    </xf>
    <xf numFmtId="0" fontId="35" fillId="5" borderId="31" xfId="0" applyFont="1" applyFill="1" applyBorder="1" applyAlignment="1">
      <alignment horizontal="center" vertical="center" wrapText="1"/>
    </xf>
    <xf numFmtId="0" fontId="34" fillId="5" borderId="29" xfId="0" applyFont="1" applyFill="1" applyBorder="1" applyAlignment="1">
      <alignment horizontal="left" vertical="center"/>
    </xf>
    <xf numFmtId="0" fontId="34" fillId="5" borderId="30" xfId="0" applyFont="1" applyFill="1" applyBorder="1" applyAlignment="1">
      <alignment horizontal="left" vertical="center"/>
    </xf>
    <xf numFmtId="0" fontId="34" fillId="5" borderId="31" xfId="0" applyFont="1" applyFill="1" applyBorder="1" applyAlignment="1">
      <alignment horizontal="left" vertical="center"/>
    </xf>
    <xf numFmtId="0" fontId="34" fillId="5" borderId="56" xfId="0" applyFont="1" applyFill="1" applyBorder="1" applyAlignment="1">
      <alignment horizontal="left" vertical="center"/>
    </xf>
    <xf numFmtId="0" fontId="34" fillId="5" borderId="0" xfId="0" applyFont="1" applyFill="1" applyBorder="1" applyAlignment="1">
      <alignment horizontal="left" vertical="center"/>
    </xf>
    <xf numFmtId="0" fontId="34" fillId="5" borderId="8" xfId="0" applyFont="1" applyFill="1" applyBorder="1" applyAlignment="1">
      <alignment horizontal="left" vertical="center"/>
    </xf>
    <xf numFmtId="0" fontId="39" fillId="5" borderId="2" xfId="0" applyFont="1" applyFill="1" applyBorder="1" applyAlignment="1">
      <alignment horizontal="right" vertical="center"/>
    </xf>
    <xf numFmtId="0" fontId="39" fillId="5" borderId="3" xfId="0" applyFont="1" applyFill="1" applyBorder="1" applyAlignment="1">
      <alignment horizontal="right" vertical="center"/>
    </xf>
    <xf numFmtId="0" fontId="39" fillId="5" borderId="25" xfId="0" applyFont="1" applyFill="1" applyBorder="1" applyAlignment="1">
      <alignment horizontal="right" vertical="center"/>
    </xf>
    <xf numFmtId="0" fontId="39" fillId="5" borderId="76" xfId="0" applyFont="1" applyFill="1" applyBorder="1" applyAlignment="1">
      <alignment horizontal="right" vertical="center"/>
    </xf>
    <xf numFmtId="0" fontId="35" fillId="5" borderId="69" xfId="0" applyFont="1" applyFill="1" applyBorder="1" applyAlignment="1">
      <alignment horizontal="left" vertical="center"/>
    </xf>
    <xf numFmtId="0" fontId="35" fillId="5" borderId="58" xfId="0" applyFont="1" applyFill="1" applyBorder="1" applyAlignment="1">
      <alignment horizontal="left" vertical="center"/>
    </xf>
    <xf numFmtId="0" fontId="35" fillId="5" borderId="59" xfId="0" applyFont="1" applyFill="1" applyBorder="1" applyAlignment="1">
      <alignment horizontal="left" vertical="center"/>
    </xf>
    <xf numFmtId="0" fontId="34" fillId="5" borderId="0" xfId="0" applyFont="1" applyFill="1" applyAlignment="1">
      <alignment horizontal="left" vertical="center"/>
    </xf>
    <xf numFmtId="0" fontId="39" fillId="5" borderId="22" xfId="0" applyFont="1" applyFill="1" applyBorder="1" applyAlignment="1">
      <alignment horizontal="right" vertical="center"/>
    </xf>
    <xf numFmtId="0" fontId="39" fillId="5" borderId="77" xfId="0" applyFont="1" applyFill="1" applyBorder="1" applyAlignment="1">
      <alignment horizontal="right" vertical="center"/>
    </xf>
    <xf numFmtId="0" fontId="35" fillId="5" borderId="29" xfId="0" applyFont="1" applyFill="1" applyBorder="1" applyAlignment="1">
      <alignment horizontal="center" vertical="center"/>
    </xf>
    <xf numFmtId="0" fontId="35" fillId="5" borderId="30" xfId="0" applyFont="1" applyFill="1" applyBorder="1" applyAlignment="1">
      <alignment horizontal="center" vertical="center"/>
    </xf>
    <xf numFmtId="0" fontId="35" fillId="5" borderId="31" xfId="0" applyFont="1" applyFill="1" applyBorder="1" applyAlignment="1">
      <alignment horizontal="center" vertical="center"/>
    </xf>
    <xf numFmtId="0" fontId="35" fillId="5" borderId="69" xfId="0" applyFont="1" applyFill="1" applyBorder="1" applyAlignment="1">
      <alignment horizontal="center" vertical="center"/>
    </xf>
    <xf numFmtId="0" fontId="35" fillId="5" borderId="58" xfId="0" applyFont="1" applyFill="1" applyBorder="1" applyAlignment="1">
      <alignment horizontal="center" vertical="center"/>
    </xf>
    <xf numFmtId="0" fontId="35" fillId="5" borderId="59" xfId="0" applyFont="1" applyFill="1" applyBorder="1" applyAlignment="1">
      <alignment horizontal="center" vertical="center"/>
    </xf>
    <xf numFmtId="0" fontId="35" fillId="5" borderId="32" xfId="0" applyFont="1" applyFill="1" applyBorder="1" applyAlignment="1">
      <alignment horizontal="center" vertical="center"/>
    </xf>
    <xf numFmtId="0" fontId="35" fillId="5" borderId="33" xfId="0" applyFont="1" applyFill="1" applyBorder="1" applyAlignment="1">
      <alignment horizontal="center" vertical="center"/>
    </xf>
    <xf numFmtId="0" fontId="35" fillId="5" borderId="34" xfId="0" applyFont="1" applyFill="1" applyBorder="1" applyAlignment="1">
      <alignment horizontal="center" vertical="center"/>
    </xf>
    <xf numFmtId="0" fontId="16" fillId="7" borderId="0" xfId="0" applyFont="1" applyFill="1" applyAlignment="1" applyProtection="1">
      <alignment horizontal="center" vertical="center"/>
      <protection hidden="1"/>
    </xf>
    <xf numFmtId="0" fontId="17" fillId="7" borderId="0" xfId="0" applyFont="1" applyFill="1" applyAlignment="1" applyProtection="1">
      <alignment horizontal="center" vertical="center"/>
      <protection hidden="1"/>
    </xf>
    <xf numFmtId="0" fontId="36" fillId="6" borderId="69" xfId="0" applyFont="1" applyFill="1" applyBorder="1" applyAlignment="1">
      <alignment horizontal="left" vertical="center"/>
    </xf>
    <xf numFmtId="0" fontId="36" fillId="6" borderId="58" xfId="0" applyFont="1" applyFill="1" applyBorder="1" applyAlignment="1">
      <alignment horizontal="left" vertical="center"/>
    </xf>
    <xf numFmtId="0" fontId="36" fillId="6" borderId="59" xfId="0" applyFont="1" applyFill="1" applyBorder="1" applyAlignment="1">
      <alignment horizontal="left" vertical="center"/>
    </xf>
    <xf numFmtId="0" fontId="34" fillId="6" borderId="58" xfId="0" applyFont="1" applyFill="1" applyBorder="1" applyAlignment="1">
      <alignment horizontal="left" vertical="center"/>
    </xf>
    <xf numFmtId="0" fontId="35" fillId="6" borderId="58" xfId="0" applyFont="1" applyFill="1" applyBorder="1" applyAlignment="1">
      <alignment horizontal="center" vertical="center"/>
    </xf>
    <xf numFmtId="0" fontId="35" fillId="6" borderId="58" xfId="0" applyFont="1" applyFill="1" applyBorder="1" applyAlignment="1">
      <alignment horizontal="right" vertical="center"/>
    </xf>
    <xf numFmtId="0" fontId="99" fillId="5" borderId="56" xfId="0" applyFont="1" applyFill="1" applyBorder="1" applyAlignment="1">
      <alignment horizontal="left" vertical="center"/>
    </xf>
    <xf numFmtId="0" fontId="99" fillId="5" borderId="0" xfId="0" applyFont="1" applyFill="1" applyBorder="1" applyAlignment="1">
      <alignment horizontal="left" vertical="center"/>
    </xf>
    <xf numFmtId="0" fontId="99" fillId="5" borderId="8" xfId="0" applyFont="1" applyFill="1" applyBorder="1" applyAlignment="1">
      <alignment horizontal="left" vertical="center"/>
    </xf>
    <xf numFmtId="0" fontId="35" fillId="6" borderId="59" xfId="0" applyFont="1" applyFill="1" applyBorder="1" applyAlignment="1">
      <alignment horizontal="center" vertical="center"/>
    </xf>
    <xf numFmtId="0" fontId="35" fillId="6" borderId="69" xfId="0" applyFont="1" applyFill="1" applyBorder="1" applyAlignment="1">
      <alignment horizontal="right" vertical="center"/>
    </xf>
    <xf numFmtId="0" fontId="35" fillId="6" borderId="69" xfId="0" applyFont="1" applyFill="1" applyBorder="1" applyAlignment="1">
      <alignment horizontal="center" vertical="center"/>
    </xf>
    <xf numFmtId="0" fontId="48" fillId="6" borderId="0" xfId="0" applyFont="1" applyFill="1" applyAlignment="1">
      <alignment horizontal="left" vertical="center"/>
    </xf>
    <xf numFmtId="0" fontId="36" fillId="6" borderId="0" xfId="0" applyFont="1" applyFill="1" applyAlignment="1">
      <alignment horizontal="left" vertical="center"/>
    </xf>
    <xf numFmtId="0" fontId="0" fillId="0" borderId="0" xfId="0" applyAlignment="1">
      <alignment horizontal="center"/>
    </xf>
    <xf numFmtId="0" fontId="43" fillId="5" borderId="29" xfId="0" applyFont="1" applyFill="1" applyBorder="1" applyAlignment="1" applyProtection="1">
      <alignment horizontal="center" vertical="center" wrapText="1"/>
      <protection hidden="1"/>
    </xf>
    <xf numFmtId="0" fontId="43" fillId="5" borderId="30" xfId="0" applyFont="1" applyFill="1" applyBorder="1" applyAlignment="1" applyProtection="1">
      <alignment horizontal="center" vertical="center" wrapText="1"/>
      <protection hidden="1"/>
    </xf>
    <xf numFmtId="0" fontId="43" fillId="5" borderId="31" xfId="0" applyFont="1" applyFill="1" applyBorder="1" applyAlignment="1" applyProtection="1">
      <alignment horizontal="center" vertical="center" wrapText="1"/>
      <protection hidden="1"/>
    </xf>
    <xf numFmtId="14" fontId="0" fillId="0" borderId="32" xfId="0" applyNumberFormat="1" applyBorder="1" applyAlignment="1">
      <alignment horizontal="center"/>
    </xf>
    <xf numFmtId="14" fontId="0" fillId="0" borderId="33" xfId="0" applyNumberFormat="1" applyBorder="1" applyAlignment="1">
      <alignment horizontal="center"/>
    </xf>
    <xf numFmtId="14" fontId="0" fillId="0" borderId="34" xfId="0" applyNumberFormat="1" applyBorder="1" applyAlignment="1">
      <alignment horizontal="center"/>
    </xf>
    <xf numFmtId="0" fontId="43" fillId="6" borderId="69" xfId="0" applyFont="1" applyFill="1" applyBorder="1" applyAlignment="1" applyProtection="1">
      <alignment horizontal="center"/>
      <protection hidden="1"/>
    </xf>
    <xf numFmtId="0" fontId="43" fillId="6" borderId="58" xfId="0" applyFont="1" applyFill="1" applyBorder="1" applyAlignment="1" applyProtection="1">
      <alignment horizontal="center"/>
      <protection hidden="1"/>
    </xf>
    <xf numFmtId="0" fontId="43" fillId="6" borderId="59" xfId="0" applyFont="1" applyFill="1" applyBorder="1" applyAlignment="1" applyProtection="1">
      <alignment horizontal="center"/>
      <protection hidden="1"/>
    </xf>
    <xf numFmtId="0" fontId="39" fillId="5" borderId="44" xfId="0" applyFont="1" applyFill="1" applyBorder="1" applyAlignment="1">
      <alignment horizontal="center" vertical="center" textRotation="90"/>
    </xf>
    <xf numFmtId="0" fontId="39" fillId="5" borderId="68" xfId="0" applyFont="1" applyFill="1" applyBorder="1" applyAlignment="1">
      <alignment horizontal="center" vertical="center" textRotation="90"/>
    </xf>
    <xf numFmtId="0" fontId="39" fillId="5" borderId="55" xfId="0" applyFont="1" applyFill="1" applyBorder="1" applyAlignment="1">
      <alignment horizontal="center" vertical="center" textRotation="90"/>
    </xf>
    <xf numFmtId="0" fontId="33" fillId="5" borderId="55" xfId="0" applyFont="1" applyFill="1" applyBorder="1" applyAlignment="1">
      <alignment horizontal="center" vertical="center"/>
    </xf>
    <xf numFmtId="0" fontId="33" fillId="5" borderId="60" xfId="0" applyFont="1" applyFill="1" applyBorder="1" applyAlignment="1">
      <alignment horizontal="center" vertical="center"/>
    </xf>
    <xf numFmtId="0" fontId="43" fillId="5" borderId="53" xfId="0" applyFont="1" applyFill="1" applyBorder="1" applyAlignment="1" applyProtection="1">
      <alignment horizontal="center" vertical="center" wrapText="1"/>
      <protection hidden="1"/>
    </xf>
    <xf numFmtId="0" fontId="43" fillId="5" borderId="1" xfId="0" applyFont="1" applyFill="1" applyBorder="1" applyAlignment="1" applyProtection="1">
      <alignment horizontal="center" vertical="center" wrapText="1"/>
      <protection hidden="1"/>
    </xf>
    <xf numFmtId="0" fontId="43" fillId="5" borderId="54" xfId="0" applyFont="1" applyFill="1" applyBorder="1" applyAlignment="1" applyProtection="1">
      <alignment horizontal="center" vertical="center" wrapText="1"/>
      <protection hidden="1"/>
    </xf>
    <xf numFmtId="0" fontId="0" fillId="0" borderId="56" xfId="0" applyBorder="1" applyAlignment="1">
      <alignment horizontal="center"/>
    </xf>
    <xf numFmtId="0" fontId="0" fillId="0" borderId="0" xfId="0" applyBorder="1" applyAlignment="1">
      <alignment horizontal="center"/>
    </xf>
    <xf numFmtId="0" fontId="0" fillId="0" borderId="64" xfId="0" applyBorder="1" applyAlignment="1">
      <alignment horizontal="center"/>
    </xf>
    <xf numFmtId="2" fontId="0" fillId="0" borderId="56" xfId="0" applyNumberFormat="1" applyBorder="1" applyAlignment="1">
      <alignment horizontal="center"/>
    </xf>
    <xf numFmtId="2" fontId="0" fillId="0" borderId="0" xfId="0" applyNumberFormat="1" applyBorder="1" applyAlignment="1">
      <alignment horizontal="center"/>
    </xf>
    <xf numFmtId="2" fontId="0" fillId="0" borderId="64" xfId="0" applyNumberFormat="1"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43" fillId="5" borderId="37" xfId="0" applyFont="1" applyFill="1" applyBorder="1" applyAlignment="1" applyProtection="1">
      <alignment horizontal="center" vertical="center" wrapText="1"/>
      <protection hidden="1"/>
    </xf>
    <xf numFmtId="0" fontId="43" fillId="5" borderId="39" xfId="0" applyFont="1" applyFill="1" applyBorder="1" applyAlignment="1" applyProtection="1">
      <alignment horizontal="center" vertical="center" wrapText="1"/>
      <protection hidden="1"/>
    </xf>
    <xf numFmtId="0" fontId="43" fillId="5" borderId="38" xfId="0" applyFont="1" applyFill="1" applyBorder="1" applyAlignment="1" applyProtection="1">
      <alignment horizontal="center" vertical="center" wrapText="1"/>
      <protection hidden="1"/>
    </xf>
    <xf numFmtId="0" fontId="43" fillId="5" borderId="40" xfId="0" applyFont="1" applyFill="1" applyBorder="1" applyAlignment="1" applyProtection="1">
      <alignment horizontal="center" vertical="center" wrapText="1"/>
      <protection hidden="1"/>
    </xf>
    <xf numFmtId="0" fontId="32" fillId="5" borderId="78" xfId="0" applyFont="1" applyFill="1" applyBorder="1" applyAlignment="1">
      <alignment horizontal="center"/>
    </xf>
    <xf numFmtId="0" fontId="32" fillId="5" borderId="79" xfId="0" applyFont="1" applyFill="1" applyBorder="1" applyAlignment="1">
      <alignment horizontal="center"/>
    </xf>
    <xf numFmtId="0" fontId="43" fillId="5" borderId="61" xfId="0" applyFont="1" applyFill="1" applyBorder="1" applyAlignment="1" applyProtection="1">
      <alignment horizontal="center" vertical="center" wrapText="1"/>
      <protection hidden="1"/>
    </xf>
    <xf numFmtId="0" fontId="43" fillId="5" borderId="49" xfId="0" applyFont="1" applyFill="1" applyBorder="1" applyAlignment="1" applyProtection="1">
      <alignment horizontal="center" vertical="center" wrapText="1"/>
      <protection hidden="1"/>
    </xf>
    <xf numFmtId="0" fontId="39" fillId="5" borderId="47" xfId="0" applyFont="1" applyFill="1" applyBorder="1" applyAlignment="1">
      <alignment horizontal="center" vertical="center" textRotation="90"/>
    </xf>
    <xf numFmtId="0" fontId="39" fillId="5" borderId="56" xfId="0" applyFont="1" applyFill="1" applyBorder="1" applyAlignment="1">
      <alignment horizontal="center" vertical="center" textRotation="90"/>
    </xf>
    <xf numFmtId="0" fontId="39" fillId="5" borderId="32" xfId="0" applyFont="1" applyFill="1" applyBorder="1" applyAlignment="1">
      <alignment horizontal="center" vertical="center" textRotation="90"/>
    </xf>
    <xf numFmtId="0" fontId="43" fillId="5" borderId="82" xfId="0" applyFont="1" applyFill="1" applyBorder="1" applyAlignment="1" applyProtection="1">
      <alignment horizontal="center" vertical="center" wrapText="1"/>
      <protection hidden="1"/>
    </xf>
    <xf numFmtId="0" fontId="43" fillId="5" borderId="83" xfId="0" applyFont="1" applyFill="1" applyBorder="1" applyAlignment="1" applyProtection="1">
      <alignment horizontal="center" vertical="center" wrapText="1"/>
      <protection hidden="1"/>
    </xf>
    <xf numFmtId="0" fontId="39" fillId="5" borderId="14" xfId="0" applyFont="1" applyFill="1" applyBorder="1" applyAlignment="1">
      <alignment horizontal="center" vertical="center"/>
    </xf>
    <xf numFmtId="0" fontId="39" fillId="5" borderId="71" xfId="0" applyFont="1" applyFill="1" applyBorder="1" applyAlignment="1">
      <alignment horizontal="center" vertical="center"/>
    </xf>
    <xf numFmtId="0" fontId="39" fillId="5" borderId="95" xfId="0" applyFont="1" applyFill="1" applyBorder="1" applyAlignment="1">
      <alignment horizontal="center" vertical="center"/>
    </xf>
    <xf numFmtId="0" fontId="39" fillId="5" borderId="83" xfId="0" applyFont="1" applyFill="1" applyBorder="1" applyAlignment="1">
      <alignment horizontal="center" vertical="center"/>
    </xf>
    <xf numFmtId="0" fontId="39" fillId="5" borderId="80" xfId="0" applyFont="1" applyFill="1" applyBorder="1" applyAlignment="1">
      <alignment horizontal="center" vertical="center"/>
    </xf>
    <xf numFmtId="0" fontId="39" fillId="5" borderId="81" xfId="0" applyFont="1" applyFill="1" applyBorder="1" applyAlignment="1">
      <alignment horizontal="center" vertical="center"/>
    </xf>
    <xf numFmtId="0" fontId="32" fillId="0" borderId="0" xfId="0" applyFont="1" applyAlignment="1">
      <alignment horizontal="left" vertical="top" wrapText="1"/>
    </xf>
    <xf numFmtId="0" fontId="32" fillId="0" borderId="0" xfId="0" applyFont="1" applyAlignment="1">
      <alignment horizontal="left" vertical="center" wrapText="1"/>
    </xf>
    <xf numFmtId="0" fontId="39" fillId="5" borderId="29" xfId="0" applyFont="1" applyFill="1" applyBorder="1" applyAlignment="1">
      <alignment horizontal="center" vertical="center"/>
    </xf>
    <xf numFmtId="0" fontId="39" fillId="5" borderId="30" xfId="0" applyFont="1" applyFill="1" applyBorder="1" applyAlignment="1">
      <alignment horizontal="center" vertical="center"/>
    </xf>
    <xf numFmtId="0" fontId="39" fillId="5" borderId="56" xfId="0" applyFont="1" applyFill="1" applyBorder="1" applyAlignment="1">
      <alignment horizontal="center" vertical="center"/>
    </xf>
    <xf numFmtId="0" fontId="39" fillId="5" borderId="0" xfId="0" applyFont="1" applyFill="1" applyBorder="1" applyAlignment="1">
      <alignment horizontal="center" vertical="center"/>
    </xf>
    <xf numFmtId="0" fontId="39" fillId="5" borderId="32" xfId="0" applyFont="1" applyFill="1" applyBorder="1" applyAlignment="1">
      <alignment horizontal="center" vertical="center"/>
    </xf>
    <xf numFmtId="0" fontId="39" fillId="5" borderId="33" xfId="0" applyFont="1" applyFill="1" applyBorder="1" applyAlignment="1">
      <alignment horizontal="center" vertical="center"/>
    </xf>
    <xf numFmtId="0" fontId="39" fillId="5" borderId="44" xfId="0" applyFont="1" applyFill="1" applyBorder="1" applyAlignment="1">
      <alignment horizontal="center" vertical="center" wrapText="1"/>
    </xf>
    <xf numFmtId="0" fontId="39" fillId="5" borderId="68" xfId="0" applyFont="1" applyFill="1" applyBorder="1" applyAlignment="1">
      <alignment horizontal="center" vertical="center" wrapText="1"/>
    </xf>
    <xf numFmtId="0" fontId="39" fillId="5" borderId="55" xfId="0" applyFont="1" applyFill="1" applyBorder="1" applyAlignment="1">
      <alignment horizontal="center" vertical="center" wrapText="1"/>
    </xf>
    <xf numFmtId="0" fontId="0" fillId="0" borderId="30" xfId="0" applyBorder="1" applyAlignment="1">
      <alignment horizontal="center"/>
    </xf>
    <xf numFmtId="0" fontId="32" fillId="5" borderId="60" xfId="0" applyFont="1" applyFill="1" applyBorder="1" applyAlignment="1">
      <alignment horizontal="center"/>
    </xf>
    <xf numFmtId="0" fontId="39" fillId="5" borderId="44" xfId="0" applyFont="1" applyFill="1" applyBorder="1" applyAlignment="1">
      <alignment horizontal="center" vertical="center" textRotation="90" wrapText="1"/>
    </xf>
    <xf numFmtId="0" fontId="39" fillId="5" borderId="68" xfId="0" applyFont="1" applyFill="1" applyBorder="1" applyAlignment="1">
      <alignment horizontal="center" vertical="center" textRotation="90" wrapText="1"/>
    </xf>
    <xf numFmtId="0" fontId="39" fillId="5" borderId="55" xfId="0" applyFont="1" applyFill="1" applyBorder="1" applyAlignment="1">
      <alignment horizontal="center" vertical="center" textRotation="90" wrapText="1"/>
    </xf>
    <xf numFmtId="0" fontId="32" fillId="0" borderId="58" xfId="0" applyFont="1" applyBorder="1" applyAlignment="1">
      <alignment horizontal="center"/>
    </xf>
    <xf numFmtId="0" fontId="32" fillId="0" borderId="0" xfId="0" applyFont="1" applyAlignment="1">
      <alignment horizontal="center" vertical="center"/>
    </xf>
    <xf numFmtId="0" fontId="34" fillId="0" borderId="0" xfId="0" applyFont="1" applyAlignment="1">
      <alignment horizontal="left" vertical="center"/>
    </xf>
    <xf numFmtId="0" fontId="34" fillId="0" borderId="0" xfId="0" applyFont="1" applyAlignment="1">
      <alignment horizontal="left" vertical="center" wrapText="1"/>
    </xf>
    <xf numFmtId="0" fontId="0" fillId="0" borderId="0" xfId="0" applyAlignment="1">
      <alignment horizontal="left" wrapText="1"/>
    </xf>
    <xf numFmtId="0" fontId="34" fillId="2" borderId="13" xfId="0" applyFont="1" applyFill="1" applyBorder="1" applyAlignment="1">
      <alignment horizontal="left"/>
    </xf>
    <xf numFmtId="0" fontId="34" fillId="2" borderId="11" xfId="0" applyFont="1" applyFill="1" applyBorder="1" applyAlignment="1">
      <alignment horizontal="left"/>
    </xf>
    <xf numFmtId="0" fontId="34" fillId="2" borderId="12" xfId="0" applyFont="1" applyFill="1" applyBorder="1" applyAlignment="1">
      <alignment horizontal="left"/>
    </xf>
    <xf numFmtId="0" fontId="33" fillId="2" borderId="9" xfId="0" applyFont="1" applyFill="1" applyBorder="1" applyAlignment="1">
      <alignment horizontal="left"/>
    </xf>
    <xf numFmtId="0" fontId="33" fillId="2" borderId="1" xfId="0" applyFont="1" applyFill="1" applyBorder="1" applyAlignment="1">
      <alignment horizontal="left"/>
    </xf>
    <xf numFmtId="0" fontId="33" fillId="2" borderId="10" xfId="0" applyFont="1" applyFill="1" applyBorder="1" applyAlignment="1">
      <alignment horizontal="left"/>
    </xf>
    <xf numFmtId="0" fontId="0" fillId="2" borderId="1" xfId="0" applyFill="1" applyBorder="1" applyAlignment="1">
      <alignment horizontal="left"/>
    </xf>
    <xf numFmtId="0" fontId="0" fillId="2" borderId="5" xfId="0" applyFill="1" applyBorder="1"/>
    <xf numFmtId="0" fontId="34" fillId="0" borderId="4" xfId="0" applyFont="1" applyBorder="1"/>
    <xf numFmtId="0" fontId="34" fillId="0" borderId="2" xfId="0" applyFont="1" applyBorder="1"/>
    <xf numFmtId="0" fontId="0" fillId="0" borderId="13"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50" fillId="2" borderId="9" xfId="0" applyFont="1" applyFill="1" applyBorder="1"/>
    <xf numFmtId="0" fontId="50" fillId="2" borderId="1" xfId="0" applyFont="1" applyFill="1" applyBorder="1"/>
    <xf numFmtId="0" fontId="50" fillId="2" borderId="10" xfId="0" applyFont="1" applyFill="1" applyBorder="1"/>
    <xf numFmtId="0" fontId="33" fillId="2" borderId="12" xfId="0" applyFont="1" applyFill="1" applyBorder="1" applyAlignment="1">
      <alignment horizontal="left"/>
    </xf>
    <xf numFmtId="0" fontId="1" fillId="0" borderId="0" xfId="0" applyFont="1" applyFill="1" applyBorder="1" applyAlignment="1" applyProtection="1">
      <alignment horizontal="left" vertical="center" wrapText="1"/>
      <protection locked="0" hidden="1"/>
    </xf>
  </cellXfs>
  <cellStyles count="2">
    <cellStyle name="Normal" xfId="0" builtinId="0"/>
    <cellStyle name="Normal 2 2" xfId="1" xr:uid="{00000000-0005-0000-0000-000001000000}"/>
  </cellStyles>
  <dxfs count="7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FF0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FF00"/>
      </font>
      <fill>
        <patternFill>
          <bgColor rgb="FFFF0000"/>
        </patternFill>
      </fill>
    </dxf>
    <dxf>
      <fill>
        <patternFill>
          <bgColor rgb="FFFF0000"/>
        </patternFill>
      </fill>
    </dxf>
    <dxf>
      <fill>
        <patternFill>
          <bgColor rgb="FFFF0000"/>
        </patternFill>
      </fill>
    </dxf>
    <dxf>
      <fill>
        <patternFill>
          <bgColor rgb="FFFF0000"/>
        </patternFill>
      </fill>
    </dxf>
    <dxf>
      <font>
        <color rgb="FFFFFF0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FF00"/>
      </font>
      <fill>
        <patternFill>
          <bgColor rgb="FFFF0000"/>
        </patternFill>
      </fill>
    </dxf>
    <dxf>
      <font>
        <color rgb="FFFFFF00"/>
      </font>
      <fill>
        <patternFill>
          <bgColor rgb="FFFF0000"/>
        </patternFill>
      </fill>
    </dxf>
    <dxf>
      <fill>
        <patternFill>
          <bgColor rgb="FFFF0000"/>
        </patternFill>
      </fill>
    </dxf>
    <dxf>
      <fill>
        <patternFill>
          <bgColor rgb="FFFF0000"/>
        </patternFill>
      </fill>
    </dxf>
    <dxf>
      <fill>
        <patternFill>
          <bgColor rgb="FFFF0000"/>
        </patternFill>
      </fill>
    </dxf>
    <dxf>
      <font>
        <color rgb="FFFFFF00"/>
      </font>
      <fill>
        <patternFill>
          <bgColor rgb="FFFF0000"/>
        </patternFill>
      </fill>
    </dxf>
    <dxf>
      <fill>
        <patternFill>
          <bgColor rgb="FFFF0000"/>
        </patternFill>
      </fill>
    </dxf>
    <dxf>
      <fill>
        <patternFill>
          <bgColor theme="4" tint="0.79998168889431442"/>
        </patternFill>
      </fill>
    </dxf>
    <dxf>
      <fill>
        <patternFill>
          <bgColor rgb="FFFF5050"/>
        </patternFill>
      </fill>
    </dxf>
    <dxf>
      <fill>
        <patternFill>
          <bgColor theme="4" tint="0.79998168889431442"/>
        </patternFill>
      </fill>
    </dxf>
    <dxf>
      <fill>
        <patternFill>
          <bgColor rgb="FF92D05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BR" sz="1100" b="1"/>
              <a:t>Pico 11  -  637,5 nm</a:t>
            </a:r>
          </a:p>
        </c:rich>
      </c:tx>
      <c:layout>
        <c:manualLayout>
          <c:xMode val="edge"/>
          <c:yMode val="edge"/>
          <c:x val="0.60697964225060153"/>
          <c:y val="0.12458834645669296"/>
        </c:manualLayout>
      </c:layout>
      <c:overlay val="0"/>
    </c:title>
    <c:autoTitleDeleted val="0"/>
    <c:plotArea>
      <c:layout>
        <c:manualLayout>
          <c:layoutTarget val="inner"/>
          <c:xMode val="edge"/>
          <c:yMode val="edge"/>
          <c:x val="0.11398057032673203"/>
          <c:y val="9.0432125984252001E-2"/>
          <c:w val="0.81675531869566498"/>
          <c:h val="0.74801061007957614"/>
        </c:manualLayout>
      </c:layout>
      <c:scatterChart>
        <c:scatterStyle val="smoothMarker"/>
        <c:varyColors val="0"/>
        <c:ser>
          <c:idx val="0"/>
          <c:order val="0"/>
          <c:tx>
            <c:v>Pico 11</c:v>
          </c:tx>
          <c:spPr>
            <a:ln w="12700">
              <a:solidFill>
                <a:srgbClr val="000080"/>
              </a:solidFill>
              <a:prstDash val="solid"/>
            </a:ln>
          </c:spPr>
          <c:marker>
            <c:symbol val="none"/>
          </c:marker>
          <c:xVal>
            <c:numRef>
              <c:f>'Registro Original'!$AA$370:$AA$490</c:f>
              <c:numCache>
                <c:formatCode>0.0</c:formatCode>
                <c:ptCount val="121"/>
                <c:pt idx="0">
                  <c:v>643.5</c:v>
                </c:pt>
                <c:pt idx="1">
                  <c:v>643.4</c:v>
                </c:pt>
                <c:pt idx="2">
                  <c:v>643.29999999999995</c:v>
                </c:pt>
                <c:pt idx="3">
                  <c:v>643.20000000000005</c:v>
                </c:pt>
                <c:pt idx="4">
                  <c:v>643.1</c:v>
                </c:pt>
                <c:pt idx="5">
                  <c:v>643</c:v>
                </c:pt>
                <c:pt idx="6">
                  <c:v>642.9</c:v>
                </c:pt>
                <c:pt idx="7">
                  <c:v>642.79999999999995</c:v>
                </c:pt>
                <c:pt idx="8">
                  <c:v>642.70000000000005</c:v>
                </c:pt>
                <c:pt idx="9">
                  <c:v>642.6</c:v>
                </c:pt>
                <c:pt idx="10">
                  <c:v>642.5</c:v>
                </c:pt>
                <c:pt idx="11">
                  <c:v>642.4</c:v>
                </c:pt>
                <c:pt idx="12">
                  <c:v>642.29999999999995</c:v>
                </c:pt>
                <c:pt idx="13">
                  <c:v>642.20000000000005</c:v>
                </c:pt>
                <c:pt idx="14">
                  <c:v>642.1</c:v>
                </c:pt>
                <c:pt idx="15">
                  <c:v>642</c:v>
                </c:pt>
                <c:pt idx="16">
                  <c:v>641.9</c:v>
                </c:pt>
                <c:pt idx="17">
                  <c:v>641.79999999999995</c:v>
                </c:pt>
                <c:pt idx="18">
                  <c:v>641.70000000000005</c:v>
                </c:pt>
                <c:pt idx="19">
                  <c:v>641.6</c:v>
                </c:pt>
                <c:pt idx="20">
                  <c:v>641.5</c:v>
                </c:pt>
                <c:pt idx="21">
                  <c:v>641.4</c:v>
                </c:pt>
                <c:pt idx="22">
                  <c:v>641.29999999999995</c:v>
                </c:pt>
                <c:pt idx="23">
                  <c:v>641.20000000000005</c:v>
                </c:pt>
                <c:pt idx="24">
                  <c:v>641.1</c:v>
                </c:pt>
                <c:pt idx="25">
                  <c:v>641</c:v>
                </c:pt>
                <c:pt idx="26">
                  <c:v>640.9</c:v>
                </c:pt>
                <c:pt idx="27">
                  <c:v>640.79999999999995</c:v>
                </c:pt>
                <c:pt idx="28">
                  <c:v>640.70000000000005</c:v>
                </c:pt>
                <c:pt idx="29">
                  <c:v>640.6</c:v>
                </c:pt>
                <c:pt idx="30">
                  <c:v>640.5</c:v>
                </c:pt>
                <c:pt idx="31">
                  <c:v>640.4</c:v>
                </c:pt>
                <c:pt idx="32">
                  <c:v>640.29999999999995</c:v>
                </c:pt>
                <c:pt idx="33">
                  <c:v>640.20000000000005</c:v>
                </c:pt>
                <c:pt idx="34">
                  <c:v>640.1</c:v>
                </c:pt>
                <c:pt idx="35">
                  <c:v>640</c:v>
                </c:pt>
                <c:pt idx="36">
                  <c:v>639.9</c:v>
                </c:pt>
                <c:pt idx="37">
                  <c:v>639.79999999999995</c:v>
                </c:pt>
                <c:pt idx="38">
                  <c:v>639.70000000000005</c:v>
                </c:pt>
                <c:pt idx="39">
                  <c:v>639.6</c:v>
                </c:pt>
                <c:pt idx="40">
                  <c:v>639.5</c:v>
                </c:pt>
                <c:pt idx="41">
                  <c:v>639.4</c:v>
                </c:pt>
                <c:pt idx="42">
                  <c:v>639.29999999999995</c:v>
                </c:pt>
                <c:pt idx="43">
                  <c:v>639.20000000000005</c:v>
                </c:pt>
                <c:pt idx="44">
                  <c:v>639.1</c:v>
                </c:pt>
                <c:pt idx="45">
                  <c:v>639</c:v>
                </c:pt>
                <c:pt idx="46">
                  <c:v>638.9</c:v>
                </c:pt>
                <c:pt idx="47">
                  <c:v>638.79999999999995</c:v>
                </c:pt>
                <c:pt idx="48">
                  <c:v>638.70000000000005</c:v>
                </c:pt>
                <c:pt idx="49">
                  <c:v>638.6</c:v>
                </c:pt>
                <c:pt idx="50">
                  <c:v>638.5</c:v>
                </c:pt>
                <c:pt idx="51">
                  <c:v>638.4</c:v>
                </c:pt>
                <c:pt idx="52">
                  <c:v>638.29999999999995</c:v>
                </c:pt>
                <c:pt idx="53">
                  <c:v>638.20000000000005</c:v>
                </c:pt>
                <c:pt idx="54">
                  <c:v>638.1</c:v>
                </c:pt>
                <c:pt idx="55">
                  <c:v>638</c:v>
                </c:pt>
                <c:pt idx="56">
                  <c:v>637.9</c:v>
                </c:pt>
                <c:pt idx="57">
                  <c:v>637.79999999999995</c:v>
                </c:pt>
                <c:pt idx="58">
                  <c:v>637.70000000000005</c:v>
                </c:pt>
                <c:pt idx="59">
                  <c:v>637.6</c:v>
                </c:pt>
                <c:pt idx="60">
                  <c:v>637.5</c:v>
                </c:pt>
                <c:pt idx="61">
                  <c:v>637.4</c:v>
                </c:pt>
                <c:pt idx="62">
                  <c:v>637.29999999999995</c:v>
                </c:pt>
                <c:pt idx="63">
                  <c:v>637.20000000000005</c:v>
                </c:pt>
                <c:pt idx="64">
                  <c:v>637.1</c:v>
                </c:pt>
                <c:pt idx="65">
                  <c:v>637</c:v>
                </c:pt>
                <c:pt idx="66">
                  <c:v>636.9</c:v>
                </c:pt>
                <c:pt idx="67">
                  <c:v>636.79999999999995</c:v>
                </c:pt>
                <c:pt idx="68">
                  <c:v>636.70000000000005</c:v>
                </c:pt>
                <c:pt idx="69">
                  <c:v>636.6</c:v>
                </c:pt>
                <c:pt idx="70">
                  <c:v>636.5</c:v>
                </c:pt>
                <c:pt idx="71">
                  <c:v>636.4</c:v>
                </c:pt>
                <c:pt idx="72">
                  <c:v>636.29999999999995</c:v>
                </c:pt>
                <c:pt idx="73">
                  <c:v>636.20000000000005</c:v>
                </c:pt>
                <c:pt idx="74">
                  <c:v>636.1</c:v>
                </c:pt>
                <c:pt idx="75">
                  <c:v>636</c:v>
                </c:pt>
                <c:pt idx="76">
                  <c:v>635.9</c:v>
                </c:pt>
                <c:pt idx="77">
                  <c:v>635.79999999999995</c:v>
                </c:pt>
                <c:pt idx="78">
                  <c:v>635.70000000000005</c:v>
                </c:pt>
                <c:pt idx="79">
                  <c:v>635.6</c:v>
                </c:pt>
                <c:pt idx="80">
                  <c:v>635.5</c:v>
                </c:pt>
                <c:pt idx="81">
                  <c:v>635.4</c:v>
                </c:pt>
                <c:pt idx="82">
                  <c:v>635.29999999999995</c:v>
                </c:pt>
                <c:pt idx="83">
                  <c:v>635.20000000000005</c:v>
                </c:pt>
                <c:pt idx="84">
                  <c:v>635.1</c:v>
                </c:pt>
                <c:pt idx="85">
                  <c:v>635</c:v>
                </c:pt>
                <c:pt idx="86">
                  <c:v>634.9</c:v>
                </c:pt>
                <c:pt idx="87">
                  <c:v>634.79999999999995</c:v>
                </c:pt>
                <c:pt idx="88">
                  <c:v>634.70000000000005</c:v>
                </c:pt>
                <c:pt idx="89">
                  <c:v>634.6</c:v>
                </c:pt>
                <c:pt idx="90">
                  <c:v>634.5</c:v>
                </c:pt>
                <c:pt idx="91">
                  <c:v>634.4</c:v>
                </c:pt>
                <c:pt idx="92">
                  <c:v>634.29999999999995</c:v>
                </c:pt>
                <c:pt idx="93">
                  <c:v>634.20000000000005</c:v>
                </c:pt>
                <c:pt idx="94">
                  <c:v>634.1</c:v>
                </c:pt>
                <c:pt idx="95">
                  <c:v>634</c:v>
                </c:pt>
                <c:pt idx="96">
                  <c:v>633.9</c:v>
                </c:pt>
                <c:pt idx="97">
                  <c:v>633.79999999999995</c:v>
                </c:pt>
                <c:pt idx="98">
                  <c:v>633.70000000000005</c:v>
                </c:pt>
                <c:pt idx="99">
                  <c:v>633.6</c:v>
                </c:pt>
                <c:pt idx="100">
                  <c:v>633.5</c:v>
                </c:pt>
                <c:pt idx="101">
                  <c:v>633.4</c:v>
                </c:pt>
                <c:pt idx="102">
                  <c:v>633.29999999999995</c:v>
                </c:pt>
                <c:pt idx="103">
                  <c:v>633.20000000000005</c:v>
                </c:pt>
                <c:pt idx="104">
                  <c:v>633.1</c:v>
                </c:pt>
                <c:pt idx="105">
                  <c:v>633</c:v>
                </c:pt>
                <c:pt idx="106">
                  <c:v>632.9</c:v>
                </c:pt>
                <c:pt idx="107">
                  <c:v>632.79999999999995</c:v>
                </c:pt>
                <c:pt idx="108">
                  <c:v>632.70000000000005</c:v>
                </c:pt>
                <c:pt idx="109">
                  <c:v>632.6</c:v>
                </c:pt>
                <c:pt idx="110">
                  <c:v>632.5</c:v>
                </c:pt>
                <c:pt idx="111">
                  <c:v>632.4</c:v>
                </c:pt>
                <c:pt idx="112">
                  <c:v>632.29999999999995</c:v>
                </c:pt>
                <c:pt idx="113">
                  <c:v>632.20000000000005</c:v>
                </c:pt>
                <c:pt idx="114">
                  <c:v>632.1</c:v>
                </c:pt>
                <c:pt idx="115">
                  <c:v>632</c:v>
                </c:pt>
                <c:pt idx="116">
                  <c:v>631.9</c:v>
                </c:pt>
                <c:pt idx="117">
                  <c:v>631.79999999999995</c:v>
                </c:pt>
                <c:pt idx="118">
                  <c:v>631.70000000000005</c:v>
                </c:pt>
                <c:pt idx="119">
                  <c:v>631.6</c:v>
                </c:pt>
                <c:pt idx="120">
                  <c:v>631.5</c:v>
                </c:pt>
              </c:numCache>
            </c:numRef>
          </c:xVal>
          <c:yVal>
            <c:numRef>
              <c:f>'Registro Original'!$AC$370:$AC$490</c:f>
              <c:numCache>
                <c:formatCode>0.0000</c:formatCode>
                <c:ptCount val="121"/>
                <c:pt idx="0">
                  <c:v>0.13968595516488946</c:v>
                </c:pt>
                <c:pt idx="1">
                  <c:v>0.13988368994714359</c:v>
                </c:pt>
                <c:pt idx="2">
                  <c:v>0.14023744029538016</c:v>
                </c:pt>
                <c:pt idx="3">
                  <c:v>0.14027343105369722</c:v>
                </c:pt>
                <c:pt idx="4">
                  <c:v>0.14050144181222385</c:v>
                </c:pt>
                <c:pt idx="5">
                  <c:v>0.14113209462988477</c:v>
                </c:pt>
                <c:pt idx="6">
                  <c:v>0.14190815246399413</c:v>
                </c:pt>
                <c:pt idx="7">
                  <c:v>0.14242026737571817</c:v>
                </c:pt>
                <c:pt idx="8">
                  <c:v>0.14313220592064427</c:v>
                </c:pt>
                <c:pt idx="9">
                  <c:v>0.14389370214579827</c:v>
                </c:pt>
                <c:pt idx="10">
                  <c:v>0.14449295871264961</c:v>
                </c:pt>
                <c:pt idx="11">
                  <c:v>0.14500813249959557</c:v>
                </c:pt>
                <c:pt idx="12">
                  <c:v>0.14574255330716113</c:v>
                </c:pt>
                <c:pt idx="13">
                  <c:v>0.14677648691023767</c:v>
                </c:pt>
                <c:pt idx="14">
                  <c:v>0.147654219214538</c:v>
                </c:pt>
                <c:pt idx="15">
                  <c:v>0.14869883562569941</c:v>
                </c:pt>
                <c:pt idx="16">
                  <c:v>0.1499299392525501</c:v>
                </c:pt>
                <c:pt idx="17">
                  <c:v>0.150998496188783</c:v>
                </c:pt>
                <c:pt idx="18">
                  <c:v>0.15244584811934794</c:v>
                </c:pt>
                <c:pt idx="19">
                  <c:v>0.15373713258905286</c:v>
                </c:pt>
                <c:pt idx="20">
                  <c:v>0.15511295426542754</c:v>
                </c:pt>
                <c:pt idx="21">
                  <c:v>0.15650560246463974</c:v>
                </c:pt>
                <c:pt idx="22">
                  <c:v>0.15809643794740699</c:v>
                </c:pt>
                <c:pt idx="23">
                  <c:v>0.15973076196237923</c:v>
                </c:pt>
                <c:pt idx="24">
                  <c:v>0.16111943978829862</c:v>
                </c:pt>
                <c:pt idx="25">
                  <c:v>0.16271466366017209</c:v>
                </c:pt>
                <c:pt idx="26">
                  <c:v>0.1645123580045921</c:v>
                </c:pt>
                <c:pt idx="27">
                  <c:v>0.16643856095310405</c:v>
                </c:pt>
                <c:pt idx="28">
                  <c:v>0.16856537774319436</c:v>
                </c:pt>
                <c:pt idx="29">
                  <c:v>0.17030393087030368</c:v>
                </c:pt>
                <c:pt idx="30">
                  <c:v>0.17201720253794614</c:v>
                </c:pt>
                <c:pt idx="31">
                  <c:v>0.17348464433647015</c:v>
                </c:pt>
                <c:pt idx="32">
                  <c:v>0.17556824925514547</c:v>
                </c:pt>
                <c:pt idx="33">
                  <c:v>0.17729592400284661</c:v>
                </c:pt>
                <c:pt idx="34">
                  <c:v>0.17933230209208106</c:v>
                </c:pt>
                <c:pt idx="35">
                  <c:v>0.18131892981457462</c:v>
                </c:pt>
                <c:pt idx="36">
                  <c:v>0.18316236909796488</c:v>
                </c:pt>
                <c:pt idx="37">
                  <c:v>0.18501366655072585</c:v>
                </c:pt>
                <c:pt idx="38">
                  <c:v>0.18663254200308321</c:v>
                </c:pt>
                <c:pt idx="39">
                  <c:v>0.18842499412940666</c:v>
                </c:pt>
                <c:pt idx="40">
                  <c:v>0.19031237249583982</c:v>
                </c:pt>
                <c:pt idx="41">
                  <c:v>0.19229588706161624</c:v>
                </c:pt>
                <c:pt idx="42">
                  <c:v>0.1936571961140979</c:v>
                </c:pt>
                <c:pt idx="43">
                  <c:v>0.19507042095682689</c:v>
                </c:pt>
                <c:pt idx="44">
                  <c:v>0.19630395155400662</c:v>
                </c:pt>
                <c:pt idx="45">
                  <c:v>0.19736992340903975</c:v>
                </c:pt>
                <c:pt idx="46">
                  <c:v>0.198870812420296</c:v>
                </c:pt>
                <c:pt idx="47">
                  <c:v>0.19998440625078445</c:v>
                </c:pt>
                <c:pt idx="48">
                  <c:v>0.20127341144461969</c:v>
                </c:pt>
                <c:pt idx="49">
                  <c:v>0.20215101863616436</c:v>
                </c:pt>
                <c:pt idx="50">
                  <c:v>0.20294723521780261</c:v>
                </c:pt>
                <c:pt idx="51">
                  <c:v>0.20386990105093847</c:v>
                </c:pt>
                <c:pt idx="52">
                  <c:v>0.20448842061636205</c:v>
                </c:pt>
                <c:pt idx="53">
                  <c:v>0.20519140479415432</c:v>
                </c:pt>
                <c:pt idx="54">
                  <c:v>0.20583273865604843</c:v>
                </c:pt>
                <c:pt idx="55">
                  <c:v>0.20587459769274566</c:v>
                </c:pt>
                <c:pt idx="56">
                  <c:v>0.20604905378602967</c:v>
                </c:pt>
                <c:pt idx="57">
                  <c:v>0.20604905378602967</c:v>
                </c:pt>
                <c:pt idx="58">
                  <c:v>0.2061816873015897</c:v>
                </c:pt>
                <c:pt idx="59">
                  <c:v>0.20639817635049401</c:v>
                </c:pt>
                <c:pt idx="60">
                  <c:v>0.20615376108983827</c:v>
                </c:pt>
                <c:pt idx="61">
                  <c:v>0.20610489453981889</c:v>
                </c:pt>
                <c:pt idx="62">
                  <c:v>0.20576995766479522</c:v>
                </c:pt>
                <c:pt idx="63">
                  <c:v>0.20551892441574929</c:v>
                </c:pt>
                <c:pt idx="64">
                  <c:v>0.20485021094918268</c:v>
                </c:pt>
                <c:pt idx="65">
                  <c:v>0.20448146606282649</c:v>
                </c:pt>
                <c:pt idx="66">
                  <c:v>0.20382823478039663</c:v>
                </c:pt>
                <c:pt idx="67">
                  <c:v>0.20330774340476288</c:v>
                </c:pt>
                <c:pt idx="68">
                  <c:v>0.20275323930670244</c:v>
                </c:pt>
                <c:pt idx="69">
                  <c:v>0.20167398842588932</c:v>
                </c:pt>
                <c:pt idx="70">
                  <c:v>0.20072839165012735</c:v>
                </c:pt>
                <c:pt idx="71">
                  <c:v>0.19996375817202069</c:v>
                </c:pt>
                <c:pt idx="72">
                  <c:v>0.19913863897655376</c:v>
                </c:pt>
                <c:pt idx="73">
                  <c:v>0.19831508445868121</c:v>
                </c:pt>
                <c:pt idx="74">
                  <c:v>0.19723311404505706</c:v>
                </c:pt>
                <c:pt idx="75">
                  <c:v>0.19615383247822804</c:v>
                </c:pt>
                <c:pt idx="76">
                  <c:v>0.19482549502765278</c:v>
                </c:pt>
                <c:pt idx="77">
                  <c:v>0.19370468186282461</c:v>
                </c:pt>
                <c:pt idx="78">
                  <c:v>0.19227560130035032</c:v>
                </c:pt>
                <c:pt idx="79">
                  <c:v>0.19106018636573766</c:v>
                </c:pt>
                <c:pt idx="80">
                  <c:v>0.18958600365779016</c:v>
                </c:pt>
                <c:pt idx="81">
                  <c:v>0.18835127755731929</c:v>
                </c:pt>
                <c:pt idx="82">
                  <c:v>0.18655245573517887</c:v>
                </c:pt>
                <c:pt idx="83">
                  <c:v>0.18496712158174913</c:v>
                </c:pt>
                <c:pt idx="84">
                  <c:v>0.18358634251157216</c:v>
                </c:pt>
                <c:pt idx="85">
                  <c:v>0.18174110653937361</c:v>
                </c:pt>
                <c:pt idx="86">
                  <c:v>0.18007457932932386</c:v>
                </c:pt>
                <c:pt idx="87">
                  <c:v>0.17815252734047735</c:v>
                </c:pt>
                <c:pt idx="88">
                  <c:v>0.17582207991381515</c:v>
                </c:pt>
                <c:pt idx="89">
                  <c:v>0.17387982561894655</c:v>
                </c:pt>
                <c:pt idx="90">
                  <c:v>0.17168174533764033</c:v>
                </c:pt>
                <c:pt idx="91">
                  <c:v>0.16977071913218711</c:v>
                </c:pt>
                <c:pt idx="92">
                  <c:v>0.16751663477939735</c:v>
                </c:pt>
                <c:pt idx="93">
                  <c:v>0.16519159294800337</c:v>
                </c:pt>
                <c:pt idx="94">
                  <c:v>0.16291052945443271</c:v>
                </c:pt>
                <c:pt idx="95">
                  <c:v>0.16045282297170715</c:v>
                </c:pt>
                <c:pt idx="96">
                  <c:v>0.15791522545331801</c:v>
                </c:pt>
                <c:pt idx="97">
                  <c:v>0.15564088887264266</c:v>
                </c:pt>
                <c:pt idx="98">
                  <c:v>0.15326713025592745</c:v>
                </c:pt>
                <c:pt idx="99">
                  <c:v>0.15074647291631962</c:v>
                </c:pt>
                <c:pt idx="100">
                  <c:v>0.14819148577176247</c:v>
                </c:pt>
                <c:pt idx="101">
                  <c:v>0.1455178464992252</c:v>
                </c:pt>
                <c:pt idx="102">
                  <c:v>0.14277005742893253</c:v>
                </c:pt>
                <c:pt idx="103">
                  <c:v>0.13992564526529624</c:v>
                </c:pt>
                <c:pt idx="104">
                  <c:v>0.13752275459952928</c:v>
                </c:pt>
                <c:pt idx="105">
                  <c:v>0.13531689645781245</c:v>
                </c:pt>
                <c:pt idx="106">
                  <c:v>0.13260912443754705</c:v>
                </c:pt>
                <c:pt idx="107">
                  <c:v>0.12990055873779693</c:v>
                </c:pt>
                <c:pt idx="108">
                  <c:v>0.12751740033926015</c:v>
                </c:pt>
                <c:pt idx="109">
                  <c:v>0.12505456391446809</c:v>
                </c:pt>
                <c:pt idx="110">
                  <c:v>0.12242134816022696</c:v>
                </c:pt>
                <c:pt idx="111">
                  <c:v>0.12023913238324499</c:v>
                </c:pt>
                <c:pt idx="112">
                  <c:v>0.11784559536576603</c:v>
                </c:pt>
                <c:pt idx="113">
                  <c:v>0.11568052558805567</c:v>
                </c:pt>
                <c:pt idx="114">
                  <c:v>0.11323863014785981</c:v>
                </c:pt>
                <c:pt idx="115">
                  <c:v>0.11088886849147823</c:v>
                </c:pt>
                <c:pt idx="116">
                  <c:v>0.10867444498199486</c:v>
                </c:pt>
                <c:pt idx="117">
                  <c:v>0.10673216121972555</c:v>
                </c:pt>
                <c:pt idx="118">
                  <c:v>0.10487039761734152</c:v>
                </c:pt>
                <c:pt idx="119">
                  <c:v>0.10278540943574502</c:v>
                </c:pt>
                <c:pt idx="120">
                  <c:v>0.10083088057445949</c:v>
                </c:pt>
              </c:numCache>
            </c:numRef>
          </c:yVal>
          <c:smooth val="1"/>
          <c:extLst>
            <c:ext xmlns:c16="http://schemas.microsoft.com/office/drawing/2014/chart" uri="{C3380CC4-5D6E-409C-BE32-E72D297353CC}">
              <c16:uniqueId val="{00000000-557D-4BD7-A083-D1A142107D26}"/>
            </c:ext>
          </c:extLst>
        </c:ser>
        <c:ser>
          <c:idx val="1"/>
          <c:order val="1"/>
          <c:tx>
            <c:v>Pico 11 - CAL1</c:v>
          </c:tx>
          <c:spPr>
            <a:ln>
              <a:solidFill>
                <a:srgbClr val="FF0000"/>
              </a:solidFill>
            </a:ln>
          </c:spPr>
          <c:marker>
            <c:symbol val="dot"/>
            <c:size val="5"/>
          </c:marker>
          <c:xVal>
            <c:numRef>
              <c:f>'Registro Original'!$B$52:$B$76</c:f>
              <c:numCache>
                <c:formatCode>0.0</c:formatCode>
                <c:ptCount val="25"/>
                <c:pt idx="0">
                  <c:v>649</c:v>
                </c:pt>
                <c:pt idx="1">
                  <c:v>648</c:v>
                </c:pt>
                <c:pt idx="2">
                  <c:v>647</c:v>
                </c:pt>
                <c:pt idx="3">
                  <c:v>646</c:v>
                </c:pt>
                <c:pt idx="4">
                  <c:v>645</c:v>
                </c:pt>
                <c:pt idx="5">
                  <c:v>644</c:v>
                </c:pt>
                <c:pt idx="6">
                  <c:v>643</c:v>
                </c:pt>
                <c:pt idx="7">
                  <c:v>642</c:v>
                </c:pt>
                <c:pt idx="8">
                  <c:v>641</c:v>
                </c:pt>
                <c:pt idx="9">
                  <c:v>640</c:v>
                </c:pt>
                <c:pt idx="10">
                  <c:v>639</c:v>
                </c:pt>
                <c:pt idx="11">
                  <c:v>638</c:v>
                </c:pt>
                <c:pt idx="12">
                  <c:v>637</c:v>
                </c:pt>
                <c:pt idx="13">
                  <c:v>636</c:v>
                </c:pt>
                <c:pt idx="14">
                  <c:v>635</c:v>
                </c:pt>
                <c:pt idx="15">
                  <c:v>634</c:v>
                </c:pt>
                <c:pt idx="16">
                  <c:v>633</c:v>
                </c:pt>
                <c:pt idx="17">
                  <c:v>632</c:v>
                </c:pt>
                <c:pt idx="18">
                  <c:v>631</c:v>
                </c:pt>
                <c:pt idx="19">
                  <c:v>630</c:v>
                </c:pt>
                <c:pt idx="20">
                  <c:v>629</c:v>
                </c:pt>
                <c:pt idx="21">
                  <c:v>628</c:v>
                </c:pt>
                <c:pt idx="22">
                  <c:v>627</c:v>
                </c:pt>
                <c:pt idx="23">
                  <c:v>626</c:v>
                </c:pt>
                <c:pt idx="24">
                  <c:v>625</c:v>
                </c:pt>
              </c:numCache>
            </c:numRef>
          </c:xVal>
          <c:yVal>
            <c:numRef>
              <c:f>'Registro Original'!$C$52:$C$76</c:f>
              <c:numCache>
                <c:formatCode>0.000</c:formatCode>
                <c:ptCount val="25"/>
                <c:pt idx="5">
                  <c:v>0.126</c:v>
                </c:pt>
                <c:pt idx="6">
                  <c:v>0.129</c:v>
                </c:pt>
                <c:pt idx="7">
                  <c:v>0.13400000000000001</c:v>
                </c:pt>
                <c:pt idx="8">
                  <c:v>0.14299999999999999</c:v>
                </c:pt>
                <c:pt idx="9">
                  <c:v>0.14899999999999999</c:v>
                </c:pt>
                <c:pt idx="10">
                  <c:v>0.153</c:v>
                </c:pt>
                <c:pt idx="11">
                  <c:v>0.153</c:v>
                </c:pt>
                <c:pt idx="12">
                  <c:v>0.15</c:v>
                </c:pt>
                <c:pt idx="13">
                  <c:v>0.14199999999999999</c:v>
                </c:pt>
                <c:pt idx="14">
                  <c:v>0.13300000000000001</c:v>
                </c:pt>
                <c:pt idx="15">
                  <c:v>0.121</c:v>
                </c:pt>
                <c:pt idx="16">
                  <c:v>0.104</c:v>
                </c:pt>
                <c:pt idx="17">
                  <c:v>9.0999999999999998E-2</c:v>
                </c:pt>
                <c:pt idx="18">
                  <c:v>7.9000000000000001E-2</c:v>
                </c:pt>
              </c:numCache>
            </c:numRef>
          </c:yVal>
          <c:smooth val="1"/>
          <c:extLst>
            <c:ext xmlns:c16="http://schemas.microsoft.com/office/drawing/2014/chart" uri="{C3380CC4-5D6E-409C-BE32-E72D297353CC}">
              <c16:uniqueId val="{00000001-557D-4BD7-A083-D1A142107D26}"/>
            </c:ext>
          </c:extLst>
        </c:ser>
        <c:ser>
          <c:idx val="3"/>
          <c:order val="2"/>
          <c:tx>
            <c:v>Pico 11 - Largura de banda</c:v>
          </c:tx>
          <c:spPr>
            <a:ln w="15875">
              <a:solidFill>
                <a:srgbClr val="FFC000"/>
              </a:solidFill>
            </a:ln>
          </c:spPr>
          <c:marker>
            <c:symbol val="none"/>
          </c:marker>
          <c:xVal>
            <c:numRef>
              <c:f>'Registro Original'!$AE$54:$CM$54</c:f>
              <c:numCache>
                <c:formatCode>General</c:formatCode>
                <c:ptCount val="61"/>
                <c:pt idx="0">
                  <c:v>631.5</c:v>
                </c:pt>
                <c:pt idx="1">
                  <c:v>631.70000000000005</c:v>
                </c:pt>
                <c:pt idx="2">
                  <c:v>631.90000000000009</c:v>
                </c:pt>
                <c:pt idx="3">
                  <c:v>632.10000000000014</c:v>
                </c:pt>
                <c:pt idx="4">
                  <c:v>632.30000000000018</c:v>
                </c:pt>
                <c:pt idx="5">
                  <c:v>632.50000000000023</c:v>
                </c:pt>
                <c:pt idx="6">
                  <c:v>632.70000000000027</c:v>
                </c:pt>
                <c:pt idx="7">
                  <c:v>632.90000000000032</c:v>
                </c:pt>
                <c:pt idx="8">
                  <c:v>633.10000000000036</c:v>
                </c:pt>
                <c:pt idx="9">
                  <c:v>633.30000000000041</c:v>
                </c:pt>
                <c:pt idx="10">
                  <c:v>633.50000000000045</c:v>
                </c:pt>
                <c:pt idx="11">
                  <c:v>633.7000000000005</c:v>
                </c:pt>
                <c:pt idx="12">
                  <c:v>633.90000000000055</c:v>
                </c:pt>
                <c:pt idx="13">
                  <c:v>634.10000000000059</c:v>
                </c:pt>
                <c:pt idx="14">
                  <c:v>634.30000000000064</c:v>
                </c:pt>
                <c:pt idx="15">
                  <c:v>634.50000000000068</c:v>
                </c:pt>
                <c:pt idx="16">
                  <c:v>634.70000000000073</c:v>
                </c:pt>
                <c:pt idx="17">
                  <c:v>634.90000000000077</c:v>
                </c:pt>
                <c:pt idx="18">
                  <c:v>635.10000000000082</c:v>
                </c:pt>
                <c:pt idx="19">
                  <c:v>635.30000000000086</c:v>
                </c:pt>
                <c:pt idx="20">
                  <c:v>635.50000000000091</c:v>
                </c:pt>
                <c:pt idx="21">
                  <c:v>635.70000000000095</c:v>
                </c:pt>
                <c:pt idx="22">
                  <c:v>635.900000000001</c:v>
                </c:pt>
                <c:pt idx="23">
                  <c:v>636.10000000000105</c:v>
                </c:pt>
                <c:pt idx="24">
                  <c:v>636.30000000000109</c:v>
                </c:pt>
                <c:pt idx="25">
                  <c:v>636.50000000000114</c:v>
                </c:pt>
                <c:pt idx="26">
                  <c:v>636.70000000000118</c:v>
                </c:pt>
                <c:pt idx="27">
                  <c:v>636.90000000000123</c:v>
                </c:pt>
                <c:pt idx="28">
                  <c:v>637.10000000000127</c:v>
                </c:pt>
                <c:pt idx="29">
                  <c:v>637.30000000000132</c:v>
                </c:pt>
                <c:pt idx="30">
                  <c:v>637.50000000000136</c:v>
                </c:pt>
                <c:pt idx="31">
                  <c:v>637.70000000000141</c:v>
                </c:pt>
                <c:pt idx="32">
                  <c:v>637.90000000000146</c:v>
                </c:pt>
                <c:pt idx="33">
                  <c:v>638.1000000000015</c:v>
                </c:pt>
                <c:pt idx="34">
                  <c:v>638.30000000000155</c:v>
                </c:pt>
                <c:pt idx="35">
                  <c:v>638.50000000000159</c:v>
                </c:pt>
                <c:pt idx="36">
                  <c:v>638.70000000000164</c:v>
                </c:pt>
                <c:pt idx="37">
                  <c:v>638.90000000000168</c:v>
                </c:pt>
                <c:pt idx="38">
                  <c:v>639.10000000000173</c:v>
                </c:pt>
                <c:pt idx="39">
                  <c:v>639.30000000000177</c:v>
                </c:pt>
                <c:pt idx="40">
                  <c:v>639.50000000000182</c:v>
                </c:pt>
                <c:pt idx="41">
                  <c:v>639.70000000000186</c:v>
                </c:pt>
                <c:pt idx="42">
                  <c:v>639.90000000000191</c:v>
                </c:pt>
                <c:pt idx="43">
                  <c:v>640.10000000000196</c:v>
                </c:pt>
                <c:pt idx="44">
                  <c:v>640.300000000002</c:v>
                </c:pt>
                <c:pt idx="45">
                  <c:v>640.50000000000205</c:v>
                </c:pt>
                <c:pt idx="46">
                  <c:v>640.70000000000209</c:v>
                </c:pt>
                <c:pt idx="47">
                  <c:v>640.90000000000214</c:v>
                </c:pt>
                <c:pt idx="48">
                  <c:v>641.10000000000218</c:v>
                </c:pt>
                <c:pt idx="49">
                  <c:v>641.30000000000223</c:v>
                </c:pt>
                <c:pt idx="50">
                  <c:v>641.50000000000227</c:v>
                </c:pt>
                <c:pt idx="51">
                  <c:v>641.70000000000232</c:v>
                </c:pt>
                <c:pt idx="52">
                  <c:v>641.90000000000236</c:v>
                </c:pt>
                <c:pt idx="53">
                  <c:v>642.10000000000241</c:v>
                </c:pt>
                <c:pt idx="54">
                  <c:v>642.30000000000246</c:v>
                </c:pt>
                <c:pt idx="55">
                  <c:v>642.5000000000025</c:v>
                </c:pt>
                <c:pt idx="56">
                  <c:v>642.70000000000255</c:v>
                </c:pt>
                <c:pt idx="57">
                  <c:v>642.90000000000259</c:v>
                </c:pt>
                <c:pt idx="58">
                  <c:v>643.10000000000264</c:v>
                </c:pt>
                <c:pt idx="59">
                  <c:v>643.30000000000268</c:v>
                </c:pt>
                <c:pt idx="60">
                  <c:v>643.50000000000273</c:v>
                </c:pt>
              </c:numCache>
            </c:numRef>
          </c:xVal>
          <c:yVal>
            <c:numRef>
              <c:f>'Registro Original'!$AE$55:$CM$55</c:f>
              <c:numCache>
                <c:formatCode>General</c:formatCode>
                <c:ptCount val="61"/>
                <c:pt idx="0" formatCode="0.0000">
                  <c:v>0.17304999999999998</c:v>
                </c:pt>
                <c:pt idx="1">
                  <c:v>0.17304999999999998</c:v>
                </c:pt>
                <c:pt idx="2">
                  <c:v>0.17304999999999998</c:v>
                </c:pt>
                <c:pt idx="3">
                  <c:v>0.17304999999999998</c:v>
                </c:pt>
                <c:pt idx="4">
                  <c:v>0.17304999999999998</c:v>
                </c:pt>
                <c:pt idx="5">
                  <c:v>0.17304999999999998</c:v>
                </c:pt>
                <c:pt idx="6">
                  <c:v>0.17304999999999998</c:v>
                </c:pt>
                <c:pt idx="7">
                  <c:v>0.17304999999999998</c:v>
                </c:pt>
                <c:pt idx="8">
                  <c:v>0.17304999999999998</c:v>
                </c:pt>
                <c:pt idx="9">
                  <c:v>0.17304999999999998</c:v>
                </c:pt>
                <c:pt idx="10">
                  <c:v>0.17304999999999998</c:v>
                </c:pt>
                <c:pt idx="11">
                  <c:v>0.17304999999999998</c:v>
                </c:pt>
                <c:pt idx="12">
                  <c:v>0.17304999999999998</c:v>
                </c:pt>
                <c:pt idx="13">
                  <c:v>0.17304999999999998</c:v>
                </c:pt>
                <c:pt idx="14">
                  <c:v>0.17304999999999998</c:v>
                </c:pt>
                <c:pt idx="15">
                  <c:v>0.17304999999999998</c:v>
                </c:pt>
                <c:pt idx="16">
                  <c:v>0.17304999999999998</c:v>
                </c:pt>
                <c:pt idx="17">
                  <c:v>0.17304999999999998</c:v>
                </c:pt>
                <c:pt idx="18">
                  <c:v>0.17304999999999998</c:v>
                </c:pt>
                <c:pt idx="19">
                  <c:v>0.17304999999999998</c:v>
                </c:pt>
                <c:pt idx="20">
                  <c:v>0.17304999999999998</c:v>
                </c:pt>
                <c:pt idx="21">
                  <c:v>0.17304999999999998</c:v>
                </c:pt>
                <c:pt idx="22">
                  <c:v>0.17304999999999998</c:v>
                </c:pt>
                <c:pt idx="23">
                  <c:v>0.17304999999999998</c:v>
                </c:pt>
                <c:pt idx="24">
                  <c:v>0.17304999999999998</c:v>
                </c:pt>
                <c:pt idx="25">
                  <c:v>0.17304999999999998</c:v>
                </c:pt>
                <c:pt idx="26">
                  <c:v>0.17304999999999998</c:v>
                </c:pt>
                <c:pt idx="27">
                  <c:v>0.17304999999999998</c:v>
                </c:pt>
                <c:pt idx="28">
                  <c:v>0.17304999999999998</c:v>
                </c:pt>
                <c:pt idx="29">
                  <c:v>0.17304999999999998</c:v>
                </c:pt>
                <c:pt idx="30">
                  <c:v>0.17304999999999998</c:v>
                </c:pt>
                <c:pt idx="31">
                  <c:v>0.17304999999999998</c:v>
                </c:pt>
                <c:pt idx="32">
                  <c:v>0.17304999999999998</c:v>
                </c:pt>
                <c:pt idx="33">
                  <c:v>0.17304999999999998</c:v>
                </c:pt>
                <c:pt idx="34">
                  <c:v>0.17304999999999998</c:v>
                </c:pt>
                <c:pt idx="35">
                  <c:v>0.17304999999999998</c:v>
                </c:pt>
                <c:pt idx="36">
                  <c:v>0.17304999999999998</c:v>
                </c:pt>
                <c:pt idx="37">
                  <c:v>0.17304999999999998</c:v>
                </c:pt>
                <c:pt idx="38">
                  <c:v>0.17304999999999998</c:v>
                </c:pt>
                <c:pt idx="39">
                  <c:v>0.17304999999999998</c:v>
                </c:pt>
                <c:pt idx="40">
                  <c:v>0.17304999999999998</c:v>
                </c:pt>
                <c:pt idx="41">
                  <c:v>0.17304999999999998</c:v>
                </c:pt>
                <c:pt idx="42">
                  <c:v>0.17304999999999998</c:v>
                </c:pt>
                <c:pt idx="43">
                  <c:v>0.17304999999999998</c:v>
                </c:pt>
                <c:pt idx="44">
                  <c:v>0.17304999999999998</c:v>
                </c:pt>
                <c:pt idx="45">
                  <c:v>0.17304999999999998</c:v>
                </c:pt>
                <c:pt idx="46">
                  <c:v>0.17304999999999998</c:v>
                </c:pt>
                <c:pt idx="47">
                  <c:v>0.17304999999999998</c:v>
                </c:pt>
                <c:pt idx="48">
                  <c:v>0.17304999999999998</c:v>
                </c:pt>
                <c:pt idx="49">
                  <c:v>0.17304999999999998</c:v>
                </c:pt>
                <c:pt idx="50">
                  <c:v>0.17304999999999998</c:v>
                </c:pt>
                <c:pt idx="51">
                  <c:v>0.17304999999999998</c:v>
                </c:pt>
                <c:pt idx="52">
                  <c:v>0.17304999999999998</c:v>
                </c:pt>
                <c:pt idx="53">
                  <c:v>0.17304999999999998</c:v>
                </c:pt>
                <c:pt idx="54">
                  <c:v>0.17304999999999998</c:v>
                </c:pt>
                <c:pt idx="55">
                  <c:v>0.17304999999999998</c:v>
                </c:pt>
                <c:pt idx="56">
                  <c:v>0.17304999999999998</c:v>
                </c:pt>
                <c:pt idx="57">
                  <c:v>0.17304999999999998</c:v>
                </c:pt>
                <c:pt idx="58">
                  <c:v>0.17304999999999998</c:v>
                </c:pt>
                <c:pt idx="59">
                  <c:v>0.17304999999999998</c:v>
                </c:pt>
                <c:pt idx="60">
                  <c:v>0.17304999999999998</c:v>
                </c:pt>
              </c:numCache>
            </c:numRef>
          </c:yVal>
          <c:smooth val="1"/>
          <c:extLst>
            <c:ext xmlns:c16="http://schemas.microsoft.com/office/drawing/2014/chart" uri="{C3380CC4-5D6E-409C-BE32-E72D297353CC}">
              <c16:uniqueId val="{00000002-557D-4BD7-A083-D1A142107D26}"/>
            </c:ext>
          </c:extLst>
        </c:ser>
        <c:ser>
          <c:idx val="2"/>
          <c:order val="3"/>
          <c:tx>
            <c:v>Pico 11 - CAL2</c:v>
          </c:tx>
          <c:spPr>
            <a:ln>
              <a:solidFill>
                <a:srgbClr val="00B050"/>
              </a:solidFill>
            </a:ln>
          </c:spPr>
          <c:marker>
            <c:symbol val="none"/>
          </c:marker>
          <c:xVal>
            <c:numRef>
              <c:f>'Registro Original'!$E$52:$E$76</c:f>
              <c:numCache>
                <c:formatCode>0.0</c:formatCode>
                <c:ptCount val="25"/>
                <c:pt idx="0">
                  <c:v>643</c:v>
                </c:pt>
                <c:pt idx="1">
                  <c:v>642.5</c:v>
                </c:pt>
                <c:pt idx="2">
                  <c:v>642</c:v>
                </c:pt>
                <c:pt idx="3">
                  <c:v>641.5</c:v>
                </c:pt>
                <c:pt idx="4">
                  <c:v>641</c:v>
                </c:pt>
                <c:pt idx="5">
                  <c:v>640.5</c:v>
                </c:pt>
                <c:pt idx="6">
                  <c:v>640</c:v>
                </c:pt>
                <c:pt idx="7">
                  <c:v>639.5</c:v>
                </c:pt>
                <c:pt idx="8">
                  <c:v>639</c:v>
                </c:pt>
                <c:pt idx="9">
                  <c:v>638.5</c:v>
                </c:pt>
                <c:pt idx="10">
                  <c:v>638</c:v>
                </c:pt>
                <c:pt idx="11">
                  <c:v>637.5</c:v>
                </c:pt>
                <c:pt idx="12">
                  <c:v>637</c:v>
                </c:pt>
                <c:pt idx="13">
                  <c:v>636.5</c:v>
                </c:pt>
                <c:pt idx="14">
                  <c:v>636</c:v>
                </c:pt>
                <c:pt idx="15">
                  <c:v>635.5</c:v>
                </c:pt>
                <c:pt idx="16">
                  <c:v>635</c:v>
                </c:pt>
                <c:pt idx="17">
                  <c:v>634.5</c:v>
                </c:pt>
                <c:pt idx="18">
                  <c:v>634</c:v>
                </c:pt>
                <c:pt idx="19">
                  <c:v>633.5</c:v>
                </c:pt>
                <c:pt idx="20">
                  <c:v>633</c:v>
                </c:pt>
                <c:pt idx="21">
                  <c:v>632.5</c:v>
                </c:pt>
                <c:pt idx="22">
                  <c:v>632</c:v>
                </c:pt>
                <c:pt idx="23">
                  <c:v>631.5</c:v>
                </c:pt>
                <c:pt idx="24">
                  <c:v>631</c:v>
                </c:pt>
              </c:numCache>
            </c:numRef>
          </c:xVal>
          <c:yVal>
            <c:numRef>
              <c:f>'Registro Original'!$F$52:$F$76</c:f>
              <c:numCache>
                <c:formatCode>General</c:formatCode>
                <c:ptCount val="25"/>
                <c:pt idx="5">
                  <c:v>0.126</c:v>
                </c:pt>
                <c:pt idx="6">
                  <c:v>0.13100000000000001</c:v>
                </c:pt>
                <c:pt idx="7">
                  <c:v>0.13600000000000001</c:v>
                </c:pt>
                <c:pt idx="8">
                  <c:v>0.14299999999999999</c:v>
                </c:pt>
                <c:pt idx="9">
                  <c:v>0.14799999999999999</c:v>
                </c:pt>
                <c:pt idx="10">
                  <c:v>0.152</c:v>
                </c:pt>
                <c:pt idx="11">
                  <c:v>0.152</c:v>
                </c:pt>
                <c:pt idx="12">
                  <c:v>0.14799999999999999</c:v>
                </c:pt>
                <c:pt idx="13">
                  <c:v>0.13900000000000001</c:v>
                </c:pt>
                <c:pt idx="14">
                  <c:v>0.129</c:v>
                </c:pt>
                <c:pt idx="15">
                  <c:v>0.11700000000000001</c:v>
                </c:pt>
                <c:pt idx="16" formatCode="0.000">
                  <c:v>0.1</c:v>
                </c:pt>
                <c:pt idx="17">
                  <c:v>8.6999999999999994E-2</c:v>
                </c:pt>
                <c:pt idx="18">
                  <c:v>7.5999999999999998E-2</c:v>
                </c:pt>
                <c:pt idx="19">
                  <c:v>6.6000000000000003E-2</c:v>
                </c:pt>
              </c:numCache>
            </c:numRef>
          </c:yVal>
          <c:smooth val="1"/>
          <c:extLst>
            <c:ext xmlns:c16="http://schemas.microsoft.com/office/drawing/2014/chart" uri="{C3380CC4-5D6E-409C-BE32-E72D297353CC}">
              <c16:uniqueId val="{00000002-CE76-460C-8D8A-6E6B213B3E7B}"/>
            </c:ext>
          </c:extLst>
        </c:ser>
        <c:dLbls>
          <c:showLegendKey val="0"/>
          <c:showVal val="0"/>
          <c:showCatName val="0"/>
          <c:showSerName val="0"/>
          <c:showPercent val="0"/>
          <c:showBubbleSize val="0"/>
        </c:dLbls>
        <c:axId val="70631424"/>
        <c:axId val="70633344"/>
      </c:scatterChart>
      <c:valAx>
        <c:axId val="70631424"/>
        <c:scaling>
          <c:orientation val="minMax"/>
          <c:max val="643.5"/>
          <c:min val="631.5"/>
        </c:scaling>
        <c:delete val="1"/>
        <c:axPos val="t"/>
        <c:title>
          <c:tx>
            <c:rich>
              <a:bodyPr/>
              <a:lstStyle/>
              <a:p>
                <a:pPr>
                  <a:defRPr sz="1000" b="1" i="0" u="none" strike="noStrike" baseline="0">
                    <a:solidFill>
                      <a:srgbClr val="000000"/>
                    </a:solidFill>
                    <a:latin typeface="Arial"/>
                    <a:ea typeface="Arial"/>
                    <a:cs typeface="Arial"/>
                  </a:defRPr>
                </a:pPr>
                <a:r>
                  <a:rPr lang="pt-BR"/>
                  <a:t>Comprimento</a:t>
                </a:r>
                <a:r>
                  <a:rPr lang="pt-BR" baseline="0"/>
                  <a:t> de Onda</a:t>
                </a:r>
                <a:r>
                  <a:rPr lang="pt-BR"/>
                  <a:t> [nm]</a:t>
                </a:r>
              </a:p>
            </c:rich>
          </c:tx>
          <c:layout>
            <c:manualLayout>
              <c:xMode val="edge"/>
              <c:yMode val="edge"/>
              <c:x val="0.43979123933037784"/>
              <c:y val="0.89920461942257246"/>
            </c:manualLayout>
          </c:layout>
          <c:overlay val="0"/>
          <c:spPr>
            <a:noFill/>
            <a:ln w="25400">
              <a:noFill/>
            </a:ln>
          </c:spPr>
        </c:title>
        <c:numFmt formatCode="0.0" sourceLinked="0"/>
        <c:majorTickMark val="out"/>
        <c:minorTickMark val="out"/>
        <c:tickLblPos val="none"/>
        <c:crossAx val="70633344"/>
        <c:crosses val="max"/>
        <c:crossBetween val="midCat"/>
        <c:majorUnit val="1"/>
        <c:minorUnit val="0.2"/>
      </c:valAx>
      <c:valAx>
        <c:axId val="70633344"/>
        <c:scaling>
          <c:orientation val="minMax"/>
          <c:max val="0.22000000000000003"/>
          <c:min val="0.1"/>
        </c:scaling>
        <c:delete val="0"/>
        <c:axPos val="l"/>
        <c:majorGridlines>
          <c:spPr>
            <a:ln w="3175">
              <a:solidFill>
                <a:schemeClr val="bg1">
                  <a:lumMod val="65000"/>
                </a:schemeClr>
              </a:solidFill>
              <a:prstDash val="solid"/>
            </a:ln>
          </c:spPr>
        </c:majorGridlines>
        <c:title>
          <c:tx>
            <c:rich>
              <a:bodyPr/>
              <a:lstStyle/>
              <a:p>
                <a:pPr>
                  <a:defRPr sz="1000" b="1" i="0" u="none" strike="noStrike" baseline="0">
                    <a:solidFill>
                      <a:srgbClr val="000000"/>
                    </a:solidFill>
                    <a:latin typeface="Arial"/>
                    <a:ea typeface="Arial"/>
                    <a:cs typeface="Arial"/>
                  </a:defRPr>
                </a:pPr>
                <a:r>
                  <a:rPr lang="pt-BR"/>
                  <a:t>Absorbância </a:t>
                </a:r>
              </a:p>
            </c:rich>
          </c:tx>
          <c:layout>
            <c:manualLayout>
              <c:xMode val="edge"/>
              <c:yMode val="edge"/>
              <c:x val="1.9833697258430937E-2"/>
              <c:y val="0.34345490813648305"/>
            </c:manualLayout>
          </c:layout>
          <c:overlay val="0"/>
          <c:spPr>
            <a:noFill/>
            <a:ln w="25400">
              <a:noFill/>
            </a:ln>
          </c:spPr>
        </c:title>
        <c:numFmt formatCode="0.00" sourceLinked="0"/>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pt-BR"/>
          </a:p>
        </c:txPr>
        <c:crossAx val="70631424"/>
        <c:crosses val="autoZero"/>
        <c:crossBetween val="midCat"/>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pt-BR"/>
    </a:p>
  </c:txPr>
  <c:printSettings>
    <c:headerFooter alignWithMargins="0"/>
    <c:pageMargins b="0.98425196899999978" l="0.78740157499999996" r="0.78740157499999996" t="0.98425196899999978"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BR" sz="1100" b="1"/>
              <a:t>Pico 10  -  536,4 nm</a:t>
            </a:r>
          </a:p>
        </c:rich>
      </c:tx>
      <c:layout>
        <c:manualLayout>
          <c:xMode val="edge"/>
          <c:yMode val="edge"/>
          <c:x val="0.59919175544233438"/>
          <c:y val="0.10829239159476321"/>
        </c:manualLayout>
      </c:layout>
      <c:overlay val="0"/>
    </c:title>
    <c:autoTitleDeleted val="0"/>
    <c:plotArea>
      <c:layout>
        <c:manualLayout>
          <c:layoutTarget val="inner"/>
          <c:xMode val="edge"/>
          <c:yMode val="edge"/>
          <c:x val="8.1472257828236541E-2"/>
          <c:y val="8.1142394292701508E-2"/>
          <c:w val="0.81675531869566498"/>
          <c:h val="0.74801061007957614"/>
        </c:manualLayout>
      </c:layout>
      <c:scatterChart>
        <c:scatterStyle val="smoothMarker"/>
        <c:varyColors val="0"/>
        <c:ser>
          <c:idx val="0"/>
          <c:order val="0"/>
          <c:tx>
            <c:v>Pico 10</c:v>
          </c:tx>
          <c:spPr>
            <a:ln w="12700">
              <a:solidFill>
                <a:srgbClr val="000080"/>
              </a:solidFill>
              <a:prstDash val="solid"/>
            </a:ln>
          </c:spPr>
          <c:marker>
            <c:symbol val="none"/>
          </c:marker>
          <c:xVal>
            <c:numRef>
              <c:f>'Registro Original'!$AA$1381:$AA$1501</c:f>
              <c:numCache>
                <c:formatCode>0.0</c:formatCode>
                <c:ptCount val="121"/>
                <c:pt idx="0">
                  <c:v>542.4</c:v>
                </c:pt>
                <c:pt idx="1">
                  <c:v>542.29999999999995</c:v>
                </c:pt>
                <c:pt idx="2">
                  <c:v>542.20000000000005</c:v>
                </c:pt>
                <c:pt idx="3">
                  <c:v>542.1</c:v>
                </c:pt>
                <c:pt idx="4">
                  <c:v>542</c:v>
                </c:pt>
                <c:pt idx="5">
                  <c:v>541.9</c:v>
                </c:pt>
                <c:pt idx="6">
                  <c:v>541.79999999999995</c:v>
                </c:pt>
                <c:pt idx="7">
                  <c:v>541.70000000000005</c:v>
                </c:pt>
                <c:pt idx="8">
                  <c:v>541.6</c:v>
                </c:pt>
                <c:pt idx="9">
                  <c:v>541.5</c:v>
                </c:pt>
                <c:pt idx="10">
                  <c:v>541.4</c:v>
                </c:pt>
                <c:pt idx="11">
                  <c:v>541.29999999999995</c:v>
                </c:pt>
                <c:pt idx="12">
                  <c:v>541.20000000000005</c:v>
                </c:pt>
                <c:pt idx="13">
                  <c:v>541.1</c:v>
                </c:pt>
                <c:pt idx="14">
                  <c:v>541</c:v>
                </c:pt>
                <c:pt idx="15">
                  <c:v>540.9</c:v>
                </c:pt>
                <c:pt idx="16">
                  <c:v>540.79999999999995</c:v>
                </c:pt>
                <c:pt idx="17">
                  <c:v>540.70000000000005</c:v>
                </c:pt>
                <c:pt idx="18">
                  <c:v>540.6</c:v>
                </c:pt>
                <c:pt idx="19">
                  <c:v>540.5</c:v>
                </c:pt>
                <c:pt idx="20">
                  <c:v>540.4</c:v>
                </c:pt>
                <c:pt idx="21">
                  <c:v>540.29999999999995</c:v>
                </c:pt>
                <c:pt idx="22">
                  <c:v>540.20000000000005</c:v>
                </c:pt>
                <c:pt idx="23">
                  <c:v>540.1</c:v>
                </c:pt>
                <c:pt idx="24">
                  <c:v>540</c:v>
                </c:pt>
                <c:pt idx="25">
                  <c:v>539.9</c:v>
                </c:pt>
                <c:pt idx="26">
                  <c:v>539.79999999999995</c:v>
                </c:pt>
                <c:pt idx="27">
                  <c:v>539.70000000000005</c:v>
                </c:pt>
                <c:pt idx="28">
                  <c:v>539.6</c:v>
                </c:pt>
                <c:pt idx="29">
                  <c:v>539.5</c:v>
                </c:pt>
                <c:pt idx="30">
                  <c:v>539.4</c:v>
                </c:pt>
                <c:pt idx="31">
                  <c:v>539.29999999999995</c:v>
                </c:pt>
                <c:pt idx="32">
                  <c:v>539.20000000000005</c:v>
                </c:pt>
                <c:pt idx="33">
                  <c:v>539.1</c:v>
                </c:pt>
                <c:pt idx="34">
                  <c:v>539</c:v>
                </c:pt>
                <c:pt idx="35">
                  <c:v>538.9</c:v>
                </c:pt>
                <c:pt idx="36">
                  <c:v>538.79999999999995</c:v>
                </c:pt>
                <c:pt idx="37">
                  <c:v>538.70000000000005</c:v>
                </c:pt>
                <c:pt idx="38">
                  <c:v>538.6</c:v>
                </c:pt>
                <c:pt idx="39">
                  <c:v>538.5</c:v>
                </c:pt>
                <c:pt idx="40">
                  <c:v>538.4</c:v>
                </c:pt>
                <c:pt idx="41">
                  <c:v>538.29999999999995</c:v>
                </c:pt>
                <c:pt idx="42">
                  <c:v>538.20000000000005</c:v>
                </c:pt>
                <c:pt idx="43">
                  <c:v>538.1</c:v>
                </c:pt>
                <c:pt idx="44">
                  <c:v>538</c:v>
                </c:pt>
                <c:pt idx="45">
                  <c:v>537.9</c:v>
                </c:pt>
                <c:pt idx="46">
                  <c:v>537.79999999999995</c:v>
                </c:pt>
                <c:pt idx="47">
                  <c:v>537.70000000000005</c:v>
                </c:pt>
                <c:pt idx="48">
                  <c:v>537.6</c:v>
                </c:pt>
                <c:pt idx="49">
                  <c:v>537.5</c:v>
                </c:pt>
                <c:pt idx="50">
                  <c:v>537.4</c:v>
                </c:pt>
                <c:pt idx="51">
                  <c:v>537.29999999999995</c:v>
                </c:pt>
                <c:pt idx="52">
                  <c:v>537.20000000000005</c:v>
                </c:pt>
                <c:pt idx="53">
                  <c:v>537.1</c:v>
                </c:pt>
                <c:pt idx="54">
                  <c:v>537</c:v>
                </c:pt>
                <c:pt idx="55">
                  <c:v>536.9</c:v>
                </c:pt>
                <c:pt idx="56">
                  <c:v>536.79999999999995</c:v>
                </c:pt>
                <c:pt idx="57">
                  <c:v>536.70000000000005</c:v>
                </c:pt>
                <c:pt idx="58">
                  <c:v>536.6</c:v>
                </c:pt>
                <c:pt idx="59">
                  <c:v>536.5</c:v>
                </c:pt>
                <c:pt idx="60">
                  <c:v>536.4</c:v>
                </c:pt>
                <c:pt idx="61">
                  <c:v>536.29999999999995</c:v>
                </c:pt>
                <c:pt idx="62">
                  <c:v>536.20000000000005</c:v>
                </c:pt>
                <c:pt idx="63">
                  <c:v>536.1</c:v>
                </c:pt>
                <c:pt idx="64">
                  <c:v>536</c:v>
                </c:pt>
                <c:pt idx="65">
                  <c:v>535.9</c:v>
                </c:pt>
                <c:pt idx="66">
                  <c:v>535.79999999999995</c:v>
                </c:pt>
                <c:pt idx="67">
                  <c:v>535.70000000000005</c:v>
                </c:pt>
                <c:pt idx="68">
                  <c:v>535.6</c:v>
                </c:pt>
                <c:pt idx="69">
                  <c:v>535.5</c:v>
                </c:pt>
                <c:pt idx="70">
                  <c:v>535.4</c:v>
                </c:pt>
                <c:pt idx="71">
                  <c:v>535.29999999999995</c:v>
                </c:pt>
                <c:pt idx="72">
                  <c:v>535.20000000000005</c:v>
                </c:pt>
                <c:pt idx="73">
                  <c:v>535.1</c:v>
                </c:pt>
                <c:pt idx="74">
                  <c:v>535</c:v>
                </c:pt>
                <c:pt idx="75">
                  <c:v>534.9</c:v>
                </c:pt>
                <c:pt idx="76">
                  <c:v>534.79999999999995</c:v>
                </c:pt>
                <c:pt idx="77">
                  <c:v>534.70000000000005</c:v>
                </c:pt>
                <c:pt idx="78">
                  <c:v>534.6</c:v>
                </c:pt>
                <c:pt idx="79">
                  <c:v>534.5</c:v>
                </c:pt>
                <c:pt idx="80">
                  <c:v>534.4</c:v>
                </c:pt>
                <c:pt idx="81">
                  <c:v>534.29999999999995</c:v>
                </c:pt>
                <c:pt idx="82">
                  <c:v>534.20000000000005</c:v>
                </c:pt>
                <c:pt idx="83">
                  <c:v>534.1</c:v>
                </c:pt>
                <c:pt idx="84">
                  <c:v>534</c:v>
                </c:pt>
                <c:pt idx="85">
                  <c:v>533.9</c:v>
                </c:pt>
                <c:pt idx="86">
                  <c:v>533.79999999999995</c:v>
                </c:pt>
                <c:pt idx="87">
                  <c:v>533.70000000000005</c:v>
                </c:pt>
                <c:pt idx="88">
                  <c:v>533.6</c:v>
                </c:pt>
                <c:pt idx="89">
                  <c:v>533.5</c:v>
                </c:pt>
                <c:pt idx="90">
                  <c:v>533.4</c:v>
                </c:pt>
                <c:pt idx="91">
                  <c:v>533.29999999999995</c:v>
                </c:pt>
                <c:pt idx="92">
                  <c:v>533.20000000000005</c:v>
                </c:pt>
                <c:pt idx="93">
                  <c:v>533.1</c:v>
                </c:pt>
                <c:pt idx="94">
                  <c:v>533</c:v>
                </c:pt>
                <c:pt idx="95">
                  <c:v>532.9</c:v>
                </c:pt>
                <c:pt idx="96">
                  <c:v>532.79999999999995</c:v>
                </c:pt>
                <c:pt idx="97">
                  <c:v>532.70000000000005</c:v>
                </c:pt>
                <c:pt idx="98">
                  <c:v>532.6</c:v>
                </c:pt>
                <c:pt idx="99">
                  <c:v>532.5</c:v>
                </c:pt>
                <c:pt idx="100">
                  <c:v>532.4</c:v>
                </c:pt>
                <c:pt idx="101">
                  <c:v>532.29999999999995</c:v>
                </c:pt>
                <c:pt idx="102">
                  <c:v>532.20000000000005</c:v>
                </c:pt>
                <c:pt idx="103">
                  <c:v>532.1</c:v>
                </c:pt>
                <c:pt idx="104">
                  <c:v>532</c:v>
                </c:pt>
                <c:pt idx="105">
                  <c:v>531.9</c:v>
                </c:pt>
                <c:pt idx="106">
                  <c:v>531.79999999999995</c:v>
                </c:pt>
                <c:pt idx="107">
                  <c:v>531.70000000000005</c:v>
                </c:pt>
                <c:pt idx="108">
                  <c:v>531.6</c:v>
                </c:pt>
                <c:pt idx="109">
                  <c:v>531.5</c:v>
                </c:pt>
                <c:pt idx="110">
                  <c:v>531.4</c:v>
                </c:pt>
                <c:pt idx="111">
                  <c:v>531.29999999999995</c:v>
                </c:pt>
                <c:pt idx="112">
                  <c:v>531.20000000000005</c:v>
                </c:pt>
                <c:pt idx="113">
                  <c:v>531.1</c:v>
                </c:pt>
                <c:pt idx="114">
                  <c:v>531</c:v>
                </c:pt>
                <c:pt idx="115">
                  <c:v>530.9</c:v>
                </c:pt>
                <c:pt idx="116">
                  <c:v>530.79999999999995</c:v>
                </c:pt>
                <c:pt idx="117">
                  <c:v>530.70000000000005</c:v>
                </c:pt>
                <c:pt idx="118">
                  <c:v>530.6</c:v>
                </c:pt>
                <c:pt idx="119">
                  <c:v>530.5</c:v>
                </c:pt>
                <c:pt idx="120">
                  <c:v>530.4</c:v>
                </c:pt>
              </c:numCache>
            </c:numRef>
          </c:xVal>
          <c:yVal>
            <c:numRef>
              <c:f>'Registro Original'!$AC$1381:$AC$1501</c:f>
              <c:numCache>
                <c:formatCode>0.0000</c:formatCode>
                <c:ptCount val="121"/>
                <c:pt idx="0">
                  <c:v>0.16204559565367879</c:v>
                </c:pt>
                <c:pt idx="1">
                  <c:v>0.16410025672880793</c:v>
                </c:pt>
                <c:pt idx="2">
                  <c:v>0.1664831618110077</c:v>
                </c:pt>
                <c:pt idx="3">
                  <c:v>0.1689304737474768</c:v>
                </c:pt>
                <c:pt idx="4">
                  <c:v>0.17143676729604776</c:v>
                </c:pt>
                <c:pt idx="5">
                  <c:v>0.17398353928248597</c:v>
                </c:pt>
                <c:pt idx="6">
                  <c:v>0.17657794146846711</c:v>
                </c:pt>
                <c:pt idx="7">
                  <c:v>0.17935199218262024</c:v>
                </c:pt>
                <c:pt idx="8">
                  <c:v>0.18234870548175761</c:v>
                </c:pt>
                <c:pt idx="9">
                  <c:v>0.18519989632666695</c:v>
                </c:pt>
                <c:pt idx="10">
                  <c:v>0.1881904848188663</c:v>
                </c:pt>
                <c:pt idx="11">
                  <c:v>0.19123553626375583</c:v>
                </c:pt>
                <c:pt idx="12">
                  <c:v>0.19429529556613559</c:v>
                </c:pt>
                <c:pt idx="13">
                  <c:v>0.19741781686992466</c:v>
                </c:pt>
                <c:pt idx="14">
                  <c:v>0.20025292064687472</c:v>
                </c:pt>
                <c:pt idx="15">
                  <c:v>0.20359220139194453</c:v>
                </c:pt>
                <c:pt idx="16">
                  <c:v>0.20737021429015004</c:v>
                </c:pt>
                <c:pt idx="17">
                  <c:v>0.21109663834756745</c:v>
                </c:pt>
                <c:pt idx="18">
                  <c:v>0.21534705246936617</c:v>
                </c:pt>
                <c:pt idx="19">
                  <c:v>0.21960347055273438</c:v>
                </c:pt>
                <c:pt idx="20">
                  <c:v>0.22408386968576804</c:v>
                </c:pt>
                <c:pt idx="21">
                  <c:v>0.22853011053133693</c:v>
                </c:pt>
                <c:pt idx="22">
                  <c:v>0.23308918967342693</c:v>
                </c:pt>
                <c:pt idx="23">
                  <c:v>0.23818488238693075</c:v>
                </c:pt>
                <c:pt idx="24">
                  <c:v>0.24385093965761667</c:v>
                </c:pt>
                <c:pt idx="25">
                  <c:v>0.24953017653123633</c:v>
                </c:pt>
                <c:pt idx="26">
                  <c:v>0.25508927149151628</c:v>
                </c:pt>
                <c:pt idx="27">
                  <c:v>0.26049885720297405</c:v>
                </c:pt>
                <c:pt idx="28">
                  <c:v>0.26691513617974461</c:v>
                </c:pt>
                <c:pt idx="29">
                  <c:v>0.27340318037076033</c:v>
                </c:pt>
                <c:pt idx="30">
                  <c:v>0.28056926765113172</c:v>
                </c:pt>
                <c:pt idx="31">
                  <c:v>0.28728297111400669</c:v>
                </c:pt>
                <c:pt idx="32">
                  <c:v>0.29446983082075207</c:v>
                </c:pt>
                <c:pt idx="33">
                  <c:v>0.30149928716748842</c:v>
                </c:pt>
                <c:pt idx="34">
                  <c:v>0.30878585161720973</c:v>
                </c:pt>
                <c:pt idx="35">
                  <c:v>0.31588206236241934</c:v>
                </c:pt>
                <c:pt idx="36">
                  <c:v>0.32324239379848491</c:v>
                </c:pt>
                <c:pt idx="37">
                  <c:v>0.33042280676836228</c:v>
                </c:pt>
                <c:pt idx="38">
                  <c:v>0.33771448427786993</c:v>
                </c:pt>
                <c:pt idx="39">
                  <c:v>0.34457341225408139</c:v>
                </c:pt>
                <c:pt idx="40">
                  <c:v>0.35077226748784152</c:v>
                </c:pt>
                <c:pt idx="41">
                  <c:v>0.35737722359072588</c:v>
                </c:pt>
                <c:pt idx="42">
                  <c:v>0.36344190005154542</c:v>
                </c:pt>
                <c:pt idx="43">
                  <c:v>0.36969419209956383</c:v>
                </c:pt>
                <c:pt idx="44">
                  <c:v>0.37491401752106762</c:v>
                </c:pt>
                <c:pt idx="45">
                  <c:v>0.38021819047890681</c:v>
                </c:pt>
                <c:pt idx="46">
                  <c:v>0.38484987054698172</c:v>
                </c:pt>
                <c:pt idx="47">
                  <c:v>0.38893553520002927</c:v>
                </c:pt>
                <c:pt idx="48">
                  <c:v>0.39295265425190046</c:v>
                </c:pt>
                <c:pt idx="49">
                  <c:v>0.3965308402661612</c:v>
                </c:pt>
                <c:pt idx="50">
                  <c:v>0.39965886886373536</c:v>
                </c:pt>
                <c:pt idx="51">
                  <c:v>0.40250226553590357</c:v>
                </c:pt>
                <c:pt idx="52">
                  <c:v>0.40537544585110663</c:v>
                </c:pt>
                <c:pt idx="53">
                  <c:v>0.4075012510012207</c:v>
                </c:pt>
                <c:pt idx="54">
                  <c:v>0.40955944345002904</c:v>
                </c:pt>
                <c:pt idx="55">
                  <c:v>0.41126902450192915</c:v>
                </c:pt>
                <c:pt idx="56">
                  <c:v>0.41254721954182272</c:v>
                </c:pt>
                <c:pt idx="57">
                  <c:v>0.4137053238548653</c:v>
                </c:pt>
                <c:pt idx="58">
                  <c:v>0.41422353475828827</c:v>
                </c:pt>
                <c:pt idx="59">
                  <c:v>0.41441520407674232</c:v>
                </c:pt>
                <c:pt idx="60">
                  <c:v>0.41426862581184098</c:v>
                </c:pt>
                <c:pt idx="61">
                  <c:v>0.41376162118352905</c:v>
                </c:pt>
                <c:pt idx="62">
                  <c:v>0.41326645497187792</c:v>
                </c:pt>
                <c:pt idx="63">
                  <c:v>0.41160502705781393</c:v>
                </c:pt>
                <c:pt idx="64">
                  <c:v>0.40947023846216213</c:v>
                </c:pt>
                <c:pt idx="65">
                  <c:v>0.40679149249075935</c:v>
                </c:pt>
                <c:pt idx="66">
                  <c:v>0.4032160330343022</c:v>
                </c:pt>
                <c:pt idx="67">
                  <c:v>0.39960437018983141</c:v>
                </c:pt>
                <c:pt idx="68">
                  <c:v>0.39519095774048713</c:v>
                </c:pt>
                <c:pt idx="69">
                  <c:v>0.39008558991400233</c:v>
                </c:pt>
                <c:pt idx="70">
                  <c:v>0.38431291806516876</c:v>
                </c:pt>
                <c:pt idx="71">
                  <c:v>0.37787927226474766</c:v>
                </c:pt>
                <c:pt idx="72">
                  <c:v>0.37104940514846652</c:v>
                </c:pt>
                <c:pt idx="73">
                  <c:v>0.36397372409279383</c:v>
                </c:pt>
                <c:pt idx="74">
                  <c:v>0.35665591070825337</c:v>
                </c:pt>
                <c:pt idx="75">
                  <c:v>0.34865413278995272</c:v>
                </c:pt>
                <c:pt idx="76">
                  <c:v>0.34061630330275328</c:v>
                </c:pt>
                <c:pt idx="77">
                  <c:v>0.33168864670307563</c:v>
                </c:pt>
                <c:pt idx="78">
                  <c:v>0.32331553351310161</c:v>
                </c:pt>
                <c:pt idx="79">
                  <c:v>0.31351567102083561</c:v>
                </c:pt>
                <c:pt idx="80">
                  <c:v>0.30483365169413085</c:v>
                </c:pt>
                <c:pt idx="81">
                  <c:v>0.29625306668453294</c:v>
                </c:pt>
                <c:pt idx="82">
                  <c:v>0.28745972743448461</c:v>
                </c:pt>
                <c:pt idx="83">
                  <c:v>0.27855213504970161</c:v>
                </c:pt>
                <c:pt idx="84">
                  <c:v>0.26947611760727708</c:v>
                </c:pt>
                <c:pt idx="85">
                  <c:v>0.26071253222913104</c:v>
                </c:pt>
                <c:pt idx="86">
                  <c:v>0.25208349190348966</c:v>
                </c:pt>
                <c:pt idx="87">
                  <c:v>0.24394993804071996</c:v>
                </c:pt>
                <c:pt idx="88">
                  <c:v>0.23591357625086054</c:v>
                </c:pt>
                <c:pt idx="89">
                  <c:v>0.22798651695449215</c:v>
                </c:pt>
                <c:pt idx="90">
                  <c:v>0.22007178253891679</c:v>
                </c:pt>
                <c:pt idx="91">
                  <c:v>0.21229871114358659</c:v>
                </c:pt>
                <c:pt idx="92">
                  <c:v>0.20450928494519222</c:v>
                </c:pt>
                <c:pt idx="93">
                  <c:v>0.19752046350322167</c:v>
                </c:pt>
                <c:pt idx="94">
                  <c:v>0.19114785246488003</c:v>
                </c:pt>
                <c:pt idx="95">
                  <c:v>0.18493387822919402</c:v>
                </c:pt>
                <c:pt idx="96">
                  <c:v>0.1785454295990602</c:v>
                </c:pt>
                <c:pt idx="97">
                  <c:v>0.17241105018732591</c:v>
                </c:pt>
                <c:pt idx="98">
                  <c:v>0.16648953373606232</c:v>
                </c:pt>
                <c:pt idx="99">
                  <c:v>0.16105650767952256</c:v>
                </c:pt>
                <c:pt idx="100">
                  <c:v>0.15599527542777097</c:v>
                </c:pt>
                <c:pt idx="101">
                  <c:v>0.15096160559781557</c:v>
                </c:pt>
                <c:pt idx="102">
                  <c:v>0.14620447823419525</c:v>
                </c:pt>
                <c:pt idx="103">
                  <c:v>0.14175764528466209</c:v>
                </c:pt>
                <c:pt idx="104">
                  <c:v>0.13759429050512725</c:v>
                </c:pt>
                <c:pt idx="105">
                  <c:v>0.13325202135361033</c:v>
                </c:pt>
                <c:pt idx="106">
                  <c:v>0.12909887230801412</c:v>
                </c:pt>
                <c:pt idx="107">
                  <c:v>0.12566316460263219</c:v>
                </c:pt>
                <c:pt idx="108">
                  <c:v>0.12245013473927095</c:v>
                </c:pt>
                <c:pt idx="109">
                  <c:v>0.11938645782463268</c:v>
                </c:pt>
                <c:pt idx="110">
                  <c:v>0.11636695103430079</c:v>
                </c:pt>
                <c:pt idx="111">
                  <c:v>0.11287240077731152</c:v>
                </c:pt>
                <c:pt idx="112">
                  <c:v>0.11011589300525844</c:v>
                </c:pt>
                <c:pt idx="113">
                  <c:v>0.10787199132650993</c:v>
                </c:pt>
                <c:pt idx="114">
                  <c:v>0.10552885983421259</c:v>
                </c:pt>
                <c:pt idx="115">
                  <c:v>0.10296703395162975</c:v>
                </c:pt>
                <c:pt idx="116">
                  <c:v>0.10090757813939187</c:v>
                </c:pt>
                <c:pt idx="117">
                  <c:v>9.8672477063435682E-2</c:v>
                </c:pt>
                <c:pt idx="118">
                  <c:v>9.6606113223243958E-2</c:v>
                </c:pt>
                <c:pt idx="119">
                  <c:v>9.4635931233107692E-2</c:v>
                </c:pt>
                <c:pt idx="120">
                  <c:v>9.2943529680681952E-2</c:v>
                </c:pt>
              </c:numCache>
            </c:numRef>
          </c:yVal>
          <c:smooth val="1"/>
          <c:extLst>
            <c:ext xmlns:c16="http://schemas.microsoft.com/office/drawing/2014/chart" uri="{C3380CC4-5D6E-409C-BE32-E72D297353CC}">
              <c16:uniqueId val="{00000000-3B9E-4CA5-A37D-768C20302C91}"/>
            </c:ext>
          </c:extLst>
        </c:ser>
        <c:ser>
          <c:idx val="1"/>
          <c:order val="1"/>
          <c:tx>
            <c:v>Pico 10 - CAL1</c:v>
          </c:tx>
          <c:spPr>
            <a:ln>
              <a:solidFill>
                <a:srgbClr val="FF0000"/>
              </a:solidFill>
            </a:ln>
          </c:spPr>
          <c:marker>
            <c:symbol val="none"/>
          </c:marker>
          <c:xVal>
            <c:numRef>
              <c:f>'Registro Original'!$B$77:$B$101</c:f>
              <c:numCache>
                <c:formatCode>0.0</c:formatCode>
                <c:ptCount val="25"/>
                <c:pt idx="0">
                  <c:v>549</c:v>
                </c:pt>
                <c:pt idx="1">
                  <c:v>548</c:v>
                </c:pt>
                <c:pt idx="2">
                  <c:v>547</c:v>
                </c:pt>
                <c:pt idx="3">
                  <c:v>546</c:v>
                </c:pt>
                <c:pt idx="4">
                  <c:v>545</c:v>
                </c:pt>
                <c:pt idx="5">
                  <c:v>544</c:v>
                </c:pt>
                <c:pt idx="6">
                  <c:v>543</c:v>
                </c:pt>
                <c:pt idx="7">
                  <c:v>542</c:v>
                </c:pt>
                <c:pt idx="8">
                  <c:v>541</c:v>
                </c:pt>
                <c:pt idx="9">
                  <c:v>540</c:v>
                </c:pt>
                <c:pt idx="10">
                  <c:v>539</c:v>
                </c:pt>
                <c:pt idx="11">
                  <c:v>538</c:v>
                </c:pt>
                <c:pt idx="12">
                  <c:v>537</c:v>
                </c:pt>
                <c:pt idx="13">
                  <c:v>536</c:v>
                </c:pt>
                <c:pt idx="14">
                  <c:v>535</c:v>
                </c:pt>
                <c:pt idx="15">
                  <c:v>534</c:v>
                </c:pt>
                <c:pt idx="16">
                  <c:v>533</c:v>
                </c:pt>
                <c:pt idx="17">
                  <c:v>532</c:v>
                </c:pt>
                <c:pt idx="18">
                  <c:v>531</c:v>
                </c:pt>
                <c:pt idx="19">
                  <c:v>530</c:v>
                </c:pt>
                <c:pt idx="20">
                  <c:v>529</c:v>
                </c:pt>
                <c:pt idx="21">
                  <c:v>528</c:v>
                </c:pt>
                <c:pt idx="22">
                  <c:v>527</c:v>
                </c:pt>
                <c:pt idx="23">
                  <c:v>526</c:v>
                </c:pt>
                <c:pt idx="24">
                  <c:v>525</c:v>
                </c:pt>
              </c:numCache>
            </c:numRef>
          </c:xVal>
          <c:yVal>
            <c:numRef>
              <c:f>'Registro Original'!$C$77:$C$101</c:f>
              <c:numCache>
                <c:formatCode>0.000</c:formatCode>
                <c:ptCount val="25"/>
                <c:pt idx="5">
                  <c:v>0.14099999999999999</c:v>
                </c:pt>
                <c:pt idx="6">
                  <c:v>0.151</c:v>
                </c:pt>
                <c:pt idx="7">
                  <c:v>0.16600000000000001</c:v>
                </c:pt>
                <c:pt idx="8">
                  <c:v>0.193</c:v>
                </c:pt>
                <c:pt idx="9">
                  <c:v>0.222</c:v>
                </c:pt>
                <c:pt idx="10">
                  <c:v>0.254</c:v>
                </c:pt>
                <c:pt idx="11">
                  <c:v>0.28199999999999997</c:v>
                </c:pt>
                <c:pt idx="12">
                  <c:v>0.28499999999999998</c:v>
                </c:pt>
                <c:pt idx="13">
                  <c:v>0.27</c:v>
                </c:pt>
                <c:pt idx="14">
                  <c:v>0.23300000000000001</c:v>
                </c:pt>
                <c:pt idx="15">
                  <c:v>0.19600000000000001</c:v>
                </c:pt>
                <c:pt idx="16">
                  <c:v>0.159</c:v>
                </c:pt>
                <c:pt idx="17">
                  <c:v>0.11700000000000001</c:v>
                </c:pt>
                <c:pt idx="18">
                  <c:v>9.2999999999999999E-2</c:v>
                </c:pt>
              </c:numCache>
            </c:numRef>
          </c:yVal>
          <c:smooth val="1"/>
          <c:extLst>
            <c:ext xmlns:c16="http://schemas.microsoft.com/office/drawing/2014/chart" uri="{C3380CC4-5D6E-409C-BE32-E72D297353CC}">
              <c16:uniqueId val="{00000001-3B9E-4CA5-A37D-768C20302C91}"/>
            </c:ext>
          </c:extLst>
        </c:ser>
        <c:ser>
          <c:idx val="2"/>
          <c:order val="2"/>
          <c:tx>
            <c:v>Pico 10 - Largura de banda</c:v>
          </c:tx>
          <c:spPr>
            <a:ln w="15875">
              <a:solidFill>
                <a:srgbClr val="FFC000"/>
              </a:solidFill>
            </a:ln>
          </c:spPr>
          <c:marker>
            <c:symbol val="none"/>
          </c:marker>
          <c:xVal>
            <c:numRef>
              <c:f>'Registro Original'!$AE$79:$CM$79</c:f>
              <c:numCache>
                <c:formatCode>General</c:formatCode>
                <c:ptCount val="61"/>
                <c:pt idx="0">
                  <c:v>530.4</c:v>
                </c:pt>
                <c:pt idx="1">
                  <c:v>530.6</c:v>
                </c:pt>
                <c:pt idx="2">
                  <c:v>530.80000000000007</c:v>
                </c:pt>
                <c:pt idx="3">
                  <c:v>531.00000000000011</c:v>
                </c:pt>
                <c:pt idx="4">
                  <c:v>531.20000000000016</c:v>
                </c:pt>
                <c:pt idx="5">
                  <c:v>531.4000000000002</c:v>
                </c:pt>
                <c:pt idx="6">
                  <c:v>531.60000000000025</c:v>
                </c:pt>
                <c:pt idx="7">
                  <c:v>531.8000000000003</c:v>
                </c:pt>
                <c:pt idx="8">
                  <c:v>532.00000000000034</c:v>
                </c:pt>
                <c:pt idx="9">
                  <c:v>532.20000000000039</c:v>
                </c:pt>
                <c:pt idx="10">
                  <c:v>532.40000000000043</c:v>
                </c:pt>
                <c:pt idx="11">
                  <c:v>532.60000000000048</c:v>
                </c:pt>
                <c:pt idx="12">
                  <c:v>532.80000000000052</c:v>
                </c:pt>
                <c:pt idx="13">
                  <c:v>533.00000000000057</c:v>
                </c:pt>
                <c:pt idx="14">
                  <c:v>533.20000000000061</c:v>
                </c:pt>
                <c:pt idx="15">
                  <c:v>533.40000000000066</c:v>
                </c:pt>
                <c:pt idx="16">
                  <c:v>533.6000000000007</c:v>
                </c:pt>
                <c:pt idx="17">
                  <c:v>533.80000000000075</c:v>
                </c:pt>
                <c:pt idx="18">
                  <c:v>534.0000000000008</c:v>
                </c:pt>
                <c:pt idx="19">
                  <c:v>534.20000000000084</c:v>
                </c:pt>
                <c:pt idx="20">
                  <c:v>534.40000000000089</c:v>
                </c:pt>
                <c:pt idx="21">
                  <c:v>534.60000000000093</c:v>
                </c:pt>
                <c:pt idx="22">
                  <c:v>534.80000000000098</c:v>
                </c:pt>
                <c:pt idx="23">
                  <c:v>535.00000000000102</c:v>
                </c:pt>
                <c:pt idx="24">
                  <c:v>535.20000000000107</c:v>
                </c:pt>
                <c:pt idx="25">
                  <c:v>535.40000000000111</c:v>
                </c:pt>
                <c:pt idx="26">
                  <c:v>535.60000000000116</c:v>
                </c:pt>
                <c:pt idx="27">
                  <c:v>535.80000000000121</c:v>
                </c:pt>
                <c:pt idx="28">
                  <c:v>536.00000000000125</c:v>
                </c:pt>
                <c:pt idx="29">
                  <c:v>536.2000000000013</c:v>
                </c:pt>
                <c:pt idx="30">
                  <c:v>536.40000000000134</c:v>
                </c:pt>
                <c:pt idx="31">
                  <c:v>536.60000000000139</c:v>
                </c:pt>
                <c:pt idx="32">
                  <c:v>536.80000000000143</c:v>
                </c:pt>
                <c:pt idx="33">
                  <c:v>537.00000000000148</c:v>
                </c:pt>
                <c:pt idx="34">
                  <c:v>537.20000000000152</c:v>
                </c:pt>
                <c:pt idx="35">
                  <c:v>537.40000000000157</c:v>
                </c:pt>
                <c:pt idx="36">
                  <c:v>537.60000000000161</c:v>
                </c:pt>
                <c:pt idx="37">
                  <c:v>537.80000000000166</c:v>
                </c:pt>
                <c:pt idx="38">
                  <c:v>538.00000000000171</c:v>
                </c:pt>
                <c:pt idx="39">
                  <c:v>538.20000000000175</c:v>
                </c:pt>
                <c:pt idx="40">
                  <c:v>538.4000000000018</c:v>
                </c:pt>
                <c:pt idx="41">
                  <c:v>538.60000000000184</c:v>
                </c:pt>
                <c:pt idx="42">
                  <c:v>538.80000000000189</c:v>
                </c:pt>
                <c:pt idx="43">
                  <c:v>539.00000000000193</c:v>
                </c:pt>
                <c:pt idx="44">
                  <c:v>539.20000000000198</c:v>
                </c:pt>
                <c:pt idx="45">
                  <c:v>539.40000000000202</c:v>
                </c:pt>
                <c:pt idx="46">
                  <c:v>539.60000000000207</c:v>
                </c:pt>
                <c:pt idx="47">
                  <c:v>539.80000000000211</c:v>
                </c:pt>
                <c:pt idx="48">
                  <c:v>540.00000000000216</c:v>
                </c:pt>
                <c:pt idx="49">
                  <c:v>540.20000000000221</c:v>
                </c:pt>
                <c:pt idx="50">
                  <c:v>540.40000000000225</c:v>
                </c:pt>
                <c:pt idx="51">
                  <c:v>540.6000000000023</c:v>
                </c:pt>
                <c:pt idx="52">
                  <c:v>540.80000000000234</c:v>
                </c:pt>
                <c:pt idx="53">
                  <c:v>541.00000000000239</c:v>
                </c:pt>
                <c:pt idx="54">
                  <c:v>541.20000000000243</c:v>
                </c:pt>
                <c:pt idx="55">
                  <c:v>541.40000000000248</c:v>
                </c:pt>
                <c:pt idx="56">
                  <c:v>541.60000000000252</c:v>
                </c:pt>
                <c:pt idx="57">
                  <c:v>541.80000000000257</c:v>
                </c:pt>
                <c:pt idx="58">
                  <c:v>542.00000000000261</c:v>
                </c:pt>
                <c:pt idx="59">
                  <c:v>542.20000000000266</c:v>
                </c:pt>
                <c:pt idx="60">
                  <c:v>542.40000000000271</c:v>
                </c:pt>
              </c:numCache>
            </c:numRef>
          </c:xVal>
          <c:yVal>
            <c:numRef>
              <c:f>'Registro Original'!$AE$80:$CM$80</c:f>
              <c:numCache>
                <c:formatCode>General</c:formatCode>
                <c:ptCount val="61"/>
                <c:pt idx="0" formatCode="0.0000">
                  <c:v>0.28815000000000002</c:v>
                </c:pt>
                <c:pt idx="1">
                  <c:v>0.28815000000000002</c:v>
                </c:pt>
                <c:pt idx="2">
                  <c:v>0.28815000000000002</c:v>
                </c:pt>
                <c:pt idx="3">
                  <c:v>0.28815000000000002</c:v>
                </c:pt>
                <c:pt idx="4">
                  <c:v>0.28815000000000002</c:v>
                </c:pt>
                <c:pt idx="5">
                  <c:v>0.28815000000000002</c:v>
                </c:pt>
                <c:pt idx="6">
                  <c:v>0.28815000000000002</c:v>
                </c:pt>
                <c:pt idx="7">
                  <c:v>0.28815000000000002</c:v>
                </c:pt>
                <c:pt idx="8">
                  <c:v>0.28815000000000002</c:v>
                </c:pt>
                <c:pt idx="9">
                  <c:v>0.28815000000000002</c:v>
                </c:pt>
                <c:pt idx="10">
                  <c:v>0.28815000000000002</c:v>
                </c:pt>
                <c:pt idx="11">
                  <c:v>0.28815000000000002</c:v>
                </c:pt>
                <c:pt idx="12">
                  <c:v>0.28815000000000002</c:v>
                </c:pt>
                <c:pt idx="13">
                  <c:v>0.28815000000000002</c:v>
                </c:pt>
                <c:pt idx="14">
                  <c:v>0.28815000000000002</c:v>
                </c:pt>
                <c:pt idx="15">
                  <c:v>0.28815000000000002</c:v>
                </c:pt>
                <c:pt idx="16">
                  <c:v>0.28815000000000002</c:v>
                </c:pt>
                <c:pt idx="17">
                  <c:v>0.28815000000000002</c:v>
                </c:pt>
                <c:pt idx="18">
                  <c:v>0.28815000000000002</c:v>
                </c:pt>
                <c:pt idx="19">
                  <c:v>0.28815000000000002</c:v>
                </c:pt>
                <c:pt idx="20">
                  <c:v>0.28815000000000002</c:v>
                </c:pt>
                <c:pt idx="21">
                  <c:v>0.28815000000000002</c:v>
                </c:pt>
                <c:pt idx="22">
                  <c:v>0.28815000000000002</c:v>
                </c:pt>
                <c:pt idx="23">
                  <c:v>0.28815000000000002</c:v>
                </c:pt>
                <c:pt idx="24">
                  <c:v>0.28815000000000002</c:v>
                </c:pt>
                <c:pt idx="25">
                  <c:v>0.28815000000000002</c:v>
                </c:pt>
                <c:pt idx="26">
                  <c:v>0.28815000000000002</c:v>
                </c:pt>
                <c:pt idx="27">
                  <c:v>0.28815000000000002</c:v>
                </c:pt>
                <c:pt idx="28">
                  <c:v>0.28815000000000002</c:v>
                </c:pt>
                <c:pt idx="29">
                  <c:v>0.28815000000000002</c:v>
                </c:pt>
                <c:pt idx="30">
                  <c:v>0.28815000000000002</c:v>
                </c:pt>
                <c:pt idx="31">
                  <c:v>0.28815000000000002</c:v>
                </c:pt>
                <c:pt idx="32">
                  <c:v>0.28815000000000002</c:v>
                </c:pt>
                <c:pt idx="33">
                  <c:v>0.28815000000000002</c:v>
                </c:pt>
                <c:pt idx="34">
                  <c:v>0.28815000000000002</c:v>
                </c:pt>
                <c:pt idx="35">
                  <c:v>0.28815000000000002</c:v>
                </c:pt>
                <c:pt idx="36">
                  <c:v>0.28815000000000002</c:v>
                </c:pt>
                <c:pt idx="37">
                  <c:v>0.28815000000000002</c:v>
                </c:pt>
                <c:pt idx="38">
                  <c:v>0.28815000000000002</c:v>
                </c:pt>
                <c:pt idx="39">
                  <c:v>0.28815000000000002</c:v>
                </c:pt>
                <c:pt idx="40">
                  <c:v>0.28815000000000002</c:v>
                </c:pt>
                <c:pt idx="41">
                  <c:v>0.28815000000000002</c:v>
                </c:pt>
                <c:pt idx="42">
                  <c:v>0.28815000000000002</c:v>
                </c:pt>
                <c:pt idx="43">
                  <c:v>0.28815000000000002</c:v>
                </c:pt>
                <c:pt idx="44">
                  <c:v>0.28815000000000002</c:v>
                </c:pt>
                <c:pt idx="45">
                  <c:v>0.28815000000000002</c:v>
                </c:pt>
                <c:pt idx="46">
                  <c:v>0.28815000000000002</c:v>
                </c:pt>
                <c:pt idx="47">
                  <c:v>0.28815000000000002</c:v>
                </c:pt>
                <c:pt idx="48">
                  <c:v>0.28815000000000002</c:v>
                </c:pt>
                <c:pt idx="49">
                  <c:v>0.28815000000000002</c:v>
                </c:pt>
                <c:pt idx="50">
                  <c:v>0.28815000000000002</c:v>
                </c:pt>
                <c:pt idx="51">
                  <c:v>0.28815000000000002</c:v>
                </c:pt>
                <c:pt idx="52">
                  <c:v>0.28815000000000002</c:v>
                </c:pt>
                <c:pt idx="53">
                  <c:v>0.28815000000000002</c:v>
                </c:pt>
                <c:pt idx="54">
                  <c:v>0.28815000000000002</c:v>
                </c:pt>
                <c:pt idx="55">
                  <c:v>0.28815000000000002</c:v>
                </c:pt>
                <c:pt idx="56">
                  <c:v>0.28815000000000002</c:v>
                </c:pt>
                <c:pt idx="57">
                  <c:v>0.28815000000000002</c:v>
                </c:pt>
                <c:pt idx="58">
                  <c:v>0.28815000000000002</c:v>
                </c:pt>
                <c:pt idx="59">
                  <c:v>0.28815000000000002</c:v>
                </c:pt>
                <c:pt idx="60">
                  <c:v>0.28815000000000002</c:v>
                </c:pt>
              </c:numCache>
            </c:numRef>
          </c:yVal>
          <c:smooth val="1"/>
          <c:extLst>
            <c:ext xmlns:c16="http://schemas.microsoft.com/office/drawing/2014/chart" uri="{C3380CC4-5D6E-409C-BE32-E72D297353CC}">
              <c16:uniqueId val="{00000002-3B9E-4CA5-A37D-768C20302C91}"/>
            </c:ext>
          </c:extLst>
        </c:ser>
        <c:ser>
          <c:idx val="3"/>
          <c:order val="3"/>
          <c:tx>
            <c:v>Pico 10 - CAL2</c:v>
          </c:tx>
          <c:spPr>
            <a:ln>
              <a:solidFill>
                <a:srgbClr val="00B050"/>
              </a:solidFill>
            </a:ln>
          </c:spPr>
          <c:marker>
            <c:symbol val="none"/>
          </c:marker>
          <c:xVal>
            <c:numRef>
              <c:f>'Registro Original'!$E$77:$E$101</c:f>
              <c:numCache>
                <c:formatCode>0.0</c:formatCode>
                <c:ptCount val="25"/>
                <c:pt idx="0">
                  <c:v>543</c:v>
                </c:pt>
                <c:pt idx="1">
                  <c:v>542.5</c:v>
                </c:pt>
                <c:pt idx="2">
                  <c:v>542</c:v>
                </c:pt>
                <c:pt idx="3">
                  <c:v>541.5</c:v>
                </c:pt>
                <c:pt idx="4">
                  <c:v>541</c:v>
                </c:pt>
                <c:pt idx="5">
                  <c:v>540.5</c:v>
                </c:pt>
                <c:pt idx="6">
                  <c:v>540</c:v>
                </c:pt>
                <c:pt idx="7">
                  <c:v>539.5</c:v>
                </c:pt>
                <c:pt idx="8">
                  <c:v>539</c:v>
                </c:pt>
                <c:pt idx="9">
                  <c:v>538.5</c:v>
                </c:pt>
                <c:pt idx="10">
                  <c:v>538</c:v>
                </c:pt>
                <c:pt idx="11">
                  <c:v>537.5</c:v>
                </c:pt>
                <c:pt idx="12">
                  <c:v>537</c:v>
                </c:pt>
                <c:pt idx="13">
                  <c:v>536.5</c:v>
                </c:pt>
                <c:pt idx="14">
                  <c:v>536</c:v>
                </c:pt>
                <c:pt idx="15">
                  <c:v>535.5</c:v>
                </c:pt>
                <c:pt idx="16">
                  <c:v>535</c:v>
                </c:pt>
                <c:pt idx="17">
                  <c:v>534.5</c:v>
                </c:pt>
                <c:pt idx="18">
                  <c:v>534</c:v>
                </c:pt>
                <c:pt idx="19">
                  <c:v>533.5</c:v>
                </c:pt>
                <c:pt idx="20">
                  <c:v>533</c:v>
                </c:pt>
                <c:pt idx="21">
                  <c:v>532.5</c:v>
                </c:pt>
                <c:pt idx="22">
                  <c:v>532</c:v>
                </c:pt>
                <c:pt idx="23">
                  <c:v>531.5</c:v>
                </c:pt>
                <c:pt idx="24">
                  <c:v>531</c:v>
                </c:pt>
              </c:numCache>
            </c:numRef>
          </c:xVal>
          <c:yVal>
            <c:numRef>
              <c:f>'Registro Original'!$F$77:$F$101</c:f>
              <c:numCache>
                <c:formatCode>General</c:formatCode>
                <c:ptCount val="25"/>
                <c:pt idx="5">
                  <c:v>0.14299999999999999</c:v>
                </c:pt>
                <c:pt idx="6">
                  <c:v>0.154</c:v>
                </c:pt>
                <c:pt idx="7">
                  <c:v>0.17</c:v>
                </c:pt>
                <c:pt idx="8">
                  <c:v>0.2</c:v>
                </c:pt>
                <c:pt idx="9">
                  <c:v>0.23100000000000001</c:v>
                </c:pt>
                <c:pt idx="10">
                  <c:v>0.26200000000000001</c:v>
                </c:pt>
                <c:pt idx="11">
                  <c:v>0.28499999999999998</c:v>
                </c:pt>
                <c:pt idx="12">
                  <c:v>0.28199999999999997</c:v>
                </c:pt>
                <c:pt idx="13">
                  <c:v>0.26200000000000001</c:v>
                </c:pt>
                <c:pt idx="14">
                  <c:v>0.222</c:v>
                </c:pt>
                <c:pt idx="15">
                  <c:v>0.185</c:v>
                </c:pt>
                <c:pt idx="16">
                  <c:v>0.14899999999999999</c:v>
                </c:pt>
                <c:pt idx="17">
                  <c:v>0.109</c:v>
                </c:pt>
                <c:pt idx="18">
                  <c:v>8.7999999999999995E-2</c:v>
                </c:pt>
                <c:pt idx="19">
                  <c:v>7.4999999999999997E-2</c:v>
                </c:pt>
              </c:numCache>
            </c:numRef>
          </c:yVal>
          <c:smooth val="1"/>
          <c:extLst>
            <c:ext xmlns:c16="http://schemas.microsoft.com/office/drawing/2014/chart" uri="{C3380CC4-5D6E-409C-BE32-E72D297353CC}">
              <c16:uniqueId val="{00000001-6FBB-46BD-9D14-5BF22102CEB3}"/>
            </c:ext>
          </c:extLst>
        </c:ser>
        <c:dLbls>
          <c:showLegendKey val="0"/>
          <c:showVal val="0"/>
          <c:showCatName val="0"/>
          <c:showSerName val="0"/>
          <c:showPercent val="0"/>
          <c:showBubbleSize val="0"/>
        </c:dLbls>
        <c:axId val="77139328"/>
        <c:axId val="77153792"/>
      </c:scatterChart>
      <c:valAx>
        <c:axId val="77139328"/>
        <c:scaling>
          <c:orientation val="minMax"/>
          <c:max val="542.4"/>
          <c:min val="530.4"/>
        </c:scaling>
        <c:delete val="0"/>
        <c:axPos val="t"/>
        <c:title>
          <c:tx>
            <c:rich>
              <a:bodyPr/>
              <a:lstStyle/>
              <a:p>
                <a:pPr>
                  <a:defRPr sz="1000" b="1" i="0" u="none" strike="noStrike" baseline="0">
                    <a:solidFill>
                      <a:srgbClr val="000000"/>
                    </a:solidFill>
                    <a:latin typeface="Arial"/>
                    <a:ea typeface="Arial"/>
                    <a:cs typeface="Arial"/>
                  </a:defRPr>
                </a:pPr>
                <a:r>
                  <a:rPr lang="pt-BR"/>
                  <a:t>Comprimento</a:t>
                </a:r>
                <a:r>
                  <a:rPr lang="pt-BR" baseline="0"/>
                  <a:t> de Onda</a:t>
                </a:r>
                <a:r>
                  <a:rPr lang="pt-BR"/>
                  <a:t> [nm]</a:t>
                </a:r>
              </a:p>
            </c:rich>
          </c:tx>
          <c:layout>
            <c:manualLayout>
              <c:xMode val="edge"/>
              <c:yMode val="edge"/>
              <c:x val="0.43979123933037784"/>
              <c:y val="0.89920442579408111"/>
            </c:manualLayout>
          </c:layout>
          <c:overlay val="0"/>
          <c:spPr>
            <a:noFill/>
            <a:ln w="25400">
              <a:noFill/>
            </a:ln>
          </c:spPr>
        </c:title>
        <c:numFmt formatCode="0.0" sourceLinked="0"/>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pt-BR"/>
          </a:p>
        </c:txPr>
        <c:crossAx val="77153792"/>
        <c:crosses val="max"/>
        <c:crossBetween val="midCat"/>
        <c:majorUnit val="1"/>
        <c:minorUnit val="0.2"/>
      </c:valAx>
      <c:valAx>
        <c:axId val="77153792"/>
        <c:scaling>
          <c:orientation val="minMax"/>
          <c:max val="0.43000000000000016"/>
          <c:min val="9.0000000000000024E-2"/>
        </c:scaling>
        <c:delete val="0"/>
        <c:axPos val="l"/>
        <c:majorGridlines>
          <c:spPr>
            <a:ln w="3175">
              <a:solidFill>
                <a:schemeClr val="bg1">
                  <a:lumMod val="65000"/>
                </a:schemeClr>
              </a:solidFill>
              <a:prstDash val="solid"/>
            </a:ln>
          </c:spPr>
        </c:majorGridlines>
        <c:title>
          <c:tx>
            <c:rich>
              <a:bodyPr/>
              <a:lstStyle/>
              <a:p>
                <a:pPr>
                  <a:defRPr sz="1000" b="1" i="0" u="none" strike="noStrike" baseline="0">
                    <a:solidFill>
                      <a:srgbClr val="000000"/>
                    </a:solidFill>
                    <a:latin typeface="Arial"/>
                    <a:ea typeface="Arial"/>
                    <a:cs typeface="Arial"/>
                  </a:defRPr>
                </a:pPr>
                <a:r>
                  <a:rPr lang="pt-BR"/>
                  <a:t>Absorbância </a:t>
                </a:r>
              </a:p>
            </c:rich>
          </c:tx>
          <c:layout>
            <c:manualLayout>
              <c:xMode val="edge"/>
              <c:yMode val="edge"/>
              <c:x val="1.8593374357617078E-2"/>
              <c:y val="0.34345545130212018"/>
            </c:manualLayout>
          </c:layout>
          <c:overlay val="0"/>
          <c:spPr>
            <a:noFill/>
            <a:ln w="25400">
              <a:noFill/>
            </a:ln>
          </c:spPr>
        </c:title>
        <c:numFmt formatCode="0.00" sourceLinked="0"/>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pt-BR"/>
          </a:p>
        </c:txPr>
        <c:crossAx val="77139328"/>
        <c:crosses val="autoZero"/>
        <c:crossBetween val="midCat"/>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pt-BR"/>
    </a:p>
  </c:txPr>
  <c:printSettings>
    <c:headerFooter alignWithMargins="0"/>
    <c:pageMargins b="0.98425196899999978" l="0.78740157499999996" r="0.78740157499999996" t="0.98425196899999978"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b="1"/>
              <a:t>Pico 9</a:t>
            </a:r>
            <a:r>
              <a:rPr lang="en-US" sz="1100" b="1" baseline="0"/>
              <a:t>  -  459,9 nm</a:t>
            </a:r>
            <a:endParaRPr lang="en-US" sz="1100" b="1"/>
          </a:p>
        </c:rich>
      </c:tx>
      <c:layout>
        <c:manualLayout>
          <c:xMode val="edge"/>
          <c:yMode val="edge"/>
          <c:x val="0.57053261836499192"/>
          <c:y val="0.11204207907746469"/>
        </c:manualLayout>
      </c:layout>
      <c:overlay val="0"/>
    </c:title>
    <c:autoTitleDeleted val="0"/>
    <c:plotArea>
      <c:layout>
        <c:manualLayout>
          <c:layoutTarget val="inner"/>
          <c:xMode val="edge"/>
          <c:yMode val="edge"/>
          <c:x val="8.0268029014303494E-2"/>
          <c:y val="7.0363764770367571E-2"/>
          <c:w val="0.81675531869566498"/>
          <c:h val="0.74801061007957614"/>
        </c:manualLayout>
      </c:layout>
      <c:scatterChart>
        <c:scatterStyle val="smoothMarker"/>
        <c:varyColors val="0"/>
        <c:ser>
          <c:idx val="0"/>
          <c:order val="0"/>
          <c:tx>
            <c:v>Pico 9</c:v>
          </c:tx>
          <c:spPr>
            <a:ln w="12700">
              <a:solidFill>
                <a:srgbClr val="000080"/>
              </a:solidFill>
              <a:prstDash val="solid"/>
            </a:ln>
          </c:spPr>
          <c:marker>
            <c:symbol val="none"/>
          </c:marker>
          <c:xVal>
            <c:numRef>
              <c:f>'Registro Original'!$AA$2146:$AA$2266</c:f>
              <c:numCache>
                <c:formatCode>0.0</c:formatCode>
                <c:ptCount val="121"/>
                <c:pt idx="0">
                  <c:v>465.9</c:v>
                </c:pt>
                <c:pt idx="1">
                  <c:v>465.8</c:v>
                </c:pt>
                <c:pt idx="2">
                  <c:v>465.7</c:v>
                </c:pt>
                <c:pt idx="3">
                  <c:v>465.6</c:v>
                </c:pt>
                <c:pt idx="4">
                  <c:v>465.5</c:v>
                </c:pt>
                <c:pt idx="5">
                  <c:v>465.4</c:v>
                </c:pt>
                <c:pt idx="6">
                  <c:v>465.3</c:v>
                </c:pt>
                <c:pt idx="7">
                  <c:v>465.2</c:v>
                </c:pt>
                <c:pt idx="8">
                  <c:v>465.1</c:v>
                </c:pt>
                <c:pt idx="9">
                  <c:v>465</c:v>
                </c:pt>
                <c:pt idx="10">
                  <c:v>464.9</c:v>
                </c:pt>
                <c:pt idx="11">
                  <c:v>464.8</c:v>
                </c:pt>
                <c:pt idx="12">
                  <c:v>464.7</c:v>
                </c:pt>
                <c:pt idx="13">
                  <c:v>464.6</c:v>
                </c:pt>
                <c:pt idx="14">
                  <c:v>464.5</c:v>
                </c:pt>
                <c:pt idx="15">
                  <c:v>464.4</c:v>
                </c:pt>
                <c:pt idx="16">
                  <c:v>464.3</c:v>
                </c:pt>
                <c:pt idx="17">
                  <c:v>464.2</c:v>
                </c:pt>
                <c:pt idx="18">
                  <c:v>464.1</c:v>
                </c:pt>
                <c:pt idx="19">
                  <c:v>464</c:v>
                </c:pt>
                <c:pt idx="20">
                  <c:v>463.9</c:v>
                </c:pt>
                <c:pt idx="21">
                  <c:v>463.8</c:v>
                </c:pt>
                <c:pt idx="22">
                  <c:v>463.7</c:v>
                </c:pt>
                <c:pt idx="23">
                  <c:v>463.6</c:v>
                </c:pt>
                <c:pt idx="24">
                  <c:v>463.5</c:v>
                </c:pt>
                <c:pt idx="25">
                  <c:v>463.4</c:v>
                </c:pt>
                <c:pt idx="26">
                  <c:v>463.3</c:v>
                </c:pt>
                <c:pt idx="27">
                  <c:v>463.2</c:v>
                </c:pt>
                <c:pt idx="28">
                  <c:v>463.1</c:v>
                </c:pt>
                <c:pt idx="29">
                  <c:v>463</c:v>
                </c:pt>
                <c:pt idx="30">
                  <c:v>462.9</c:v>
                </c:pt>
                <c:pt idx="31">
                  <c:v>462.8</c:v>
                </c:pt>
                <c:pt idx="32">
                  <c:v>462.7</c:v>
                </c:pt>
                <c:pt idx="33">
                  <c:v>462.6</c:v>
                </c:pt>
                <c:pt idx="34">
                  <c:v>462.5</c:v>
                </c:pt>
                <c:pt idx="35">
                  <c:v>462.4</c:v>
                </c:pt>
                <c:pt idx="36">
                  <c:v>462.3</c:v>
                </c:pt>
                <c:pt idx="37">
                  <c:v>462.2</c:v>
                </c:pt>
                <c:pt idx="38">
                  <c:v>462.1</c:v>
                </c:pt>
                <c:pt idx="39">
                  <c:v>462</c:v>
                </c:pt>
                <c:pt idx="40">
                  <c:v>461.9</c:v>
                </c:pt>
                <c:pt idx="41">
                  <c:v>461.8</c:v>
                </c:pt>
                <c:pt idx="42">
                  <c:v>461.7</c:v>
                </c:pt>
                <c:pt idx="43">
                  <c:v>461.6</c:v>
                </c:pt>
                <c:pt idx="44">
                  <c:v>461.5</c:v>
                </c:pt>
                <c:pt idx="45">
                  <c:v>461.4</c:v>
                </c:pt>
                <c:pt idx="46">
                  <c:v>461.3</c:v>
                </c:pt>
                <c:pt idx="47">
                  <c:v>461.2</c:v>
                </c:pt>
                <c:pt idx="48">
                  <c:v>461.1</c:v>
                </c:pt>
                <c:pt idx="49">
                  <c:v>461</c:v>
                </c:pt>
                <c:pt idx="50">
                  <c:v>460.9</c:v>
                </c:pt>
                <c:pt idx="51">
                  <c:v>460.8</c:v>
                </c:pt>
                <c:pt idx="52">
                  <c:v>460.7</c:v>
                </c:pt>
                <c:pt idx="53">
                  <c:v>460.6</c:v>
                </c:pt>
                <c:pt idx="54">
                  <c:v>460.5</c:v>
                </c:pt>
                <c:pt idx="55">
                  <c:v>460.4</c:v>
                </c:pt>
                <c:pt idx="56">
                  <c:v>460.3</c:v>
                </c:pt>
                <c:pt idx="57">
                  <c:v>460.2</c:v>
                </c:pt>
                <c:pt idx="58">
                  <c:v>460.1</c:v>
                </c:pt>
                <c:pt idx="59">
                  <c:v>460</c:v>
                </c:pt>
                <c:pt idx="60">
                  <c:v>459.9</c:v>
                </c:pt>
                <c:pt idx="61">
                  <c:v>459.8</c:v>
                </c:pt>
                <c:pt idx="62">
                  <c:v>459.7</c:v>
                </c:pt>
                <c:pt idx="63">
                  <c:v>459.6</c:v>
                </c:pt>
                <c:pt idx="64">
                  <c:v>459.5</c:v>
                </c:pt>
                <c:pt idx="65">
                  <c:v>459.4</c:v>
                </c:pt>
                <c:pt idx="66">
                  <c:v>459.3</c:v>
                </c:pt>
                <c:pt idx="67">
                  <c:v>459.2</c:v>
                </c:pt>
                <c:pt idx="68">
                  <c:v>459.1</c:v>
                </c:pt>
                <c:pt idx="69">
                  <c:v>459</c:v>
                </c:pt>
                <c:pt idx="70">
                  <c:v>458.9</c:v>
                </c:pt>
                <c:pt idx="71">
                  <c:v>458.8</c:v>
                </c:pt>
                <c:pt idx="72">
                  <c:v>458.7</c:v>
                </c:pt>
                <c:pt idx="73">
                  <c:v>458.6</c:v>
                </c:pt>
                <c:pt idx="74">
                  <c:v>458.5</c:v>
                </c:pt>
                <c:pt idx="75">
                  <c:v>458.4</c:v>
                </c:pt>
                <c:pt idx="76">
                  <c:v>458.3</c:v>
                </c:pt>
                <c:pt idx="77">
                  <c:v>458.2</c:v>
                </c:pt>
                <c:pt idx="78">
                  <c:v>458.1</c:v>
                </c:pt>
                <c:pt idx="79">
                  <c:v>458</c:v>
                </c:pt>
                <c:pt idx="80">
                  <c:v>457.9</c:v>
                </c:pt>
                <c:pt idx="81">
                  <c:v>457.8</c:v>
                </c:pt>
                <c:pt idx="82">
                  <c:v>457.7</c:v>
                </c:pt>
                <c:pt idx="83">
                  <c:v>457.6</c:v>
                </c:pt>
                <c:pt idx="84">
                  <c:v>457.5</c:v>
                </c:pt>
                <c:pt idx="85">
                  <c:v>457.4</c:v>
                </c:pt>
                <c:pt idx="86">
                  <c:v>457.3</c:v>
                </c:pt>
                <c:pt idx="87">
                  <c:v>457.2</c:v>
                </c:pt>
                <c:pt idx="88">
                  <c:v>457.1</c:v>
                </c:pt>
                <c:pt idx="89">
                  <c:v>457</c:v>
                </c:pt>
                <c:pt idx="90">
                  <c:v>456.9</c:v>
                </c:pt>
                <c:pt idx="91">
                  <c:v>456.8</c:v>
                </c:pt>
                <c:pt idx="92">
                  <c:v>456.7</c:v>
                </c:pt>
                <c:pt idx="93">
                  <c:v>456.6</c:v>
                </c:pt>
                <c:pt idx="94">
                  <c:v>456.5</c:v>
                </c:pt>
                <c:pt idx="95">
                  <c:v>456.4</c:v>
                </c:pt>
                <c:pt idx="96">
                  <c:v>456.3</c:v>
                </c:pt>
                <c:pt idx="97">
                  <c:v>456.2</c:v>
                </c:pt>
                <c:pt idx="98">
                  <c:v>456.1</c:v>
                </c:pt>
                <c:pt idx="99">
                  <c:v>456</c:v>
                </c:pt>
                <c:pt idx="100">
                  <c:v>455.9</c:v>
                </c:pt>
                <c:pt idx="101">
                  <c:v>455.8</c:v>
                </c:pt>
                <c:pt idx="102">
                  <c:v>455.7</c:v>
                </c:pt>
                <c:pt idx="103">
                  <c:v>455.6</c:v>
                </c:pt>
                <c:pt idx="104">
                  <c:v>455.5</c:v>
                </c:pt>
                <c:pt idx="105">
                  <c:v>455.4</c:v>
                </c:pt>
                <c:pt idx="106">
                  <c:v>455.3</c:v>
                </c:pt>
                <c:pt idx="107">
                  <c:v>455.2</c:v>
                </c:pt>
                <c:pt idx="108">
                  <c:v>455.1</c:v>
                </c:pt>
                <c:pt idx="109">
                  <c:v>455</c:v>
                </c:pt>
                <c:pt idx="110">
                  <c:v>454.9</c:v>
                </c:pt>
                <c:pt idx="111">
                  <c:v>454.8</c:v>
                </c:pt>
                <c:pt idx="112">
                  <c:v>454.7</c:v>
                </c:pt>
                <c:pt idx="113">
                  <c:v>454.6</c:v>
                </c:pt>
                <c:pt idx="114">
                  <c:v>454.5</c:v>
                </c:pt>
                <c:pt idx="115">
                  <c:v>454.4</c:v>
                </c:pt>
                <c:pt idx="116">
                  <c:v>454.3</c:v>
                </c:pt>
                <c:pt idx="117">
                  <c:v>454.2</c:v>
                </c:pt>
                <c:pt idx="118">
                  <c:v>454.1</c:v>
                </c:pt>
                <c:pt idx="119">
                  <c:v>454</c:v>
                </c:pt>
                <c:pt idx="120">
                  <c:v>453.9</c:v>
                </c:pt>
              </c:numCache>
            </c:numRef>
          </c:xVal>
          <c:yVal>
            <c:numRef>
              <c:f>'Registro Original'!$AC$2146:$AC$2266</c:f>
              <c:numCache>
                <c:formatCode>0.0000</c:formatCode>
                <c:ptCount val="121"/>
                <c:pt idx="0">
                  <c:v>0.22520575826088388</c:v>
                </c:pt>
                <c:pt idx="1">
                  <c:v>0.23122874539028607</c:v>
                </c:pt>
                <c:pt idx="2">
                  <c:v>0.238049620928346</c:v>
                </c:pt>
                <c:pt idx="3">
                  <c:v>0.24591170713324578</c:v>
                </c:pt>
                <c:pt idx="4">
                  <c:v>0.25440218301410533</c:v>
                </c:pt>
                <c:pt idx="5">
                  <c:v>0.26429732909265202</c:v>
                </c:pt>
                <c:pt idx="6">
                  <c:v>0.27500363565573333</c:v>
                </c:pt>
                <c:pt idx="7">
                  <c:v>0.28738396591665633</c:v>
                </c:pt>
                <c:pt idx="8">
                  <c:v>0.299789686243979</c:v>
                </c:pt>
                <c:pt idx="9">
                  <c:v>0.31357825012063245</c:v>
                </c:pt>
                <c:pt idx="10">
                  <c:v>0.32836440339787026</c:v>
                </c:pt>
                <c:pt idx="11">
                  <c:v>0.34459261650277018</c:v>
                </c:pt>
                <c:pt idx="12">
                  <c:v>0.36198023444042254</c:v>
                </c:pt>
                <c:pt idx="13">
                  <c:v>0.37913552473487888</c:v>
                </c:pt>
                <c:pt idx="14">
                  <c:v>0.39775547272833967</c:v>
                </c:pt>
                <c:pt idx="15">
                  <c:v>0.41724368332057776</c:v>
                </c:pt>
                <c:pt idx="16">
                  <c:v>0.4374811232633683</c:v>
                </c:pt>
                <c:pt idx="17">
                  <c:v>0.45898270715434314</c:v>
                </c:pt>
                <c:pt idx="18">
                  <c:v>0.47954266982833738</c:v>
                </c:pt>
                <c:pt idx="19">
                  <c:v>0.50208945703651231</c:v>
                </c:pt>
                <c:pt idx="20">
                  <c:v>0.52383524567717465</c:v>
                </c:pt>
                <c:pt idx="21">
                  <c:v>0.54645233961925088</c:v>
                </c:pt>
                <c:pt idx="22">
                  <c:v>0.56728719487461321</c:v>
                </c:pt>
                <c:pt idx="23">
                  <c:v>0.58801012321114066</c:v>
                </c:pt>
                <c:pt idx="24">
                  <c:v>0.60982468977132964</c:v>
                </c:pt>
                <c:pt idx="25">
                  <c:v>0.63165732067577618</c:v>
                </c:pt>
                <c:pt idx="26">
                  <c:v>0.65155883272163884</c:v>
                </c:pt>
                <c:pt idx="27">
                  <c:v>0.6706021206389573</c:v>
                </c:pt>
                <c:pt idx="28">
                  <c:v>0.68924298164739584</c:v>
                </c:pt>
                <c:pt idx="29">
                  <c:v>0.70725672862292932</c:v>
                </c:pt>
                <c:pt idx="30">
                  <c:v>0.72459649725459563</c:v>
                </c:pt>
                <c:pt idx="31">
                  <c:v>0.74083632865978344</c:v>
                </c:pt>
                <c:pt idx="32">
                  <c:v>0.75678826825524059</c:v>
                </c:pt>
                <c:pt idx="33">
                  <c:v>0.77242177970039994</c:v>
                </c:pt>
                <c:pt idx="34">
                  <c:v>0.78789233445234108</c:v>
                </c:pt>
                <c:pt idx="35">
                  <c:v>0.80219584682659029</c:v>
                </c:pt>
                <c:pt idx="36">
                  <c:v>0.81707203076300761</c:v>
                </c:pt>
                <c:pt idx="37">
                  <c:v>0.83259404276770799</c:v>
                </c:pt>
                <c:pt idx="38">
                  <c:v>0.84958130552070188</c:v>
                </c:pt>
                <c:pt idx="39">
                  <c:v>0.86690838974529183</c:v>
                </c:pt>
                <c:pt idx="40">
                  <c:v>0.88532230898912212</c:v>
                </c:pt>
                <c:pt idx="41">
                  <c:v>0.90486553306016315</c:v>
                </c:pt>
                <c:pt idx="42">
                  <c:v>0.92576886197967434</c:v>
                </c:pt>
                <c:pt idx="43">
                  <c:v>0.94911778933597057</c:v>
                </c:pt>
                <c:pt idx="44">
                  <c:v>0.97403909014362089</c:v>
                </c:pt>
                <c:pt idx="45">
                  <c:v>1.0002606548934321</c:v>
                </c:pt>
                <c:pt idx="46">
                  <c:v>1.0278573558590627</c:v>
                </c:pt>
                <c:pt idx="47">
                  <c:v>1.0569360347997729</c:v>
                </c:pt>
                <c:pt idx="48">
                  <c:v>1.086382153984832</c:v>
                </c:pt>
                <c:pt idx="49">
                  <c:v>1.1150800844395505</c:v>
                </c:pt>
                <c:pt idx="50">
                  <c:v>1.1437001797522086</c:v>
                </c:pt>
                <c:pt idx="51">
                  <c:v>1.1714045436282976</c:v>
                </c:pt>
                <c:pt idx="52">
                  <c:v>1.1979655461415468</c:v>
                </c:pt>
                <c:pt idx="53">
                  <c:v>1.2216027191120056</c:v>
                </c:pt>
                <c:pt idx="54">
                  <c:v>1.2404076913540252</c:v>
                </c:pt>
                <c:pt idx="55">
                  <c:v>1.2567725400258052</c:v>
                </c:pt>
                <c:pt idx="56">
                  <c:v>1.268379006362955</c:v>
                </c:pt>
                <c:pt idx="57">
                  <c:v>1.276667491310699</c:v>
                </c:pt>
                <c:pt idx="58">
                  <c:v>1.2799317011624916</c:v>
                </c:pt>
                <c:pt idx="59">
                  <c:v>1.2789399532609942</c:v>
                </c:pt>
                <c:pt idx="60">
                  <c:v>1.2731994641371116</c:v>
                </c:pt>
                <c:pt idx="61">
                  <c:v>1.2633645023131788</c:v>
                </c:pt>
                <c:pt idx="62">
                  <c:v>1.2504414569862348</c:v>
                </c:pt>
                <c:pt idx="63">
                  <c:v>1.2336020262409779</c:v>
                </c:pt>
                <c:pt idx="64">
                  <c:v>1.2133266443361292</c:v>
                </c:pt>
                <c:pt idx="65">
                  <c:v>1.1882373765516856</c:v>
                </c:pt>
                <c:pt idx="66">
                  <c:v>1.1606979686878076</c:v>
                </c:pt>
                <c:pt idx="67">
                  <c:v>1.1300528708258151</c:v>
                </c:pt>
                <c:pt idx="68">
                  <c:v>1.099627408554215</c:v>
                </c:pt>
                <c:pt idx="69">
                  <c:v>1.0657995972200096</c:v>
                </c:pt>
                <c:pt idx="70">
                  <c:v>1.0303791042991852</c:v>
                </c:pt>
                <c:pt idx="71">
                  <c:v>0.99310629205209955</c:v>
                </c:pt>
                <c:pt idx="72">
                  <c:v>0.9556954808240854</c:v>
                </c:pt>
                <c:pt idx="73">
                  <c:v>0.91840068726706381</c:v>
                </c:pt>
                <c:pt idx="74">
                  <c:v>0.88176835167297263</c:v>
                </c:pt>
                <c:pt idx="75">
                  <c:v>0.84487660628928773</c:v>
                </c:pt>
                <c:pt idx="76">
                  <c:v>0.81045354326107355</c:v>
                </c:pt>
                <c:pt idx="77">
                  <c:v>0.77759570891754437</c:v>
                </c:pt>
                <c:pt idx="78">
                  <c:v>0.74666199467389349</c:v>
                </c:pt>
                <c:pt idx="79">
                  <c:v>0.71735523281026059</c:v>
                </c:pt>
                <c:pt idx="80">
                  <c:v>0.68975289157171749</c:v>
                </c:pt>
                <c:pt idx="81">
                  <c:v>0.66548593435943615</c:v>
                </c:pt>
                <c:pt idx="82">
                  <c:v>0.64470176478883134</c:v>
                </c:pt>
                <c:pt idx="83">
                  <c:v>0.62545327206104073</c:v>
                </c:pt>
                <c:pt idx="84">
                  <c:v>0.60858848961438849</c:v>
                </c:pt>
                <c:pt idx="85">
                  <c:v>0.5948586246370503</c:v>
                </c:pt>
                <c:pt idx="86">
                  <c:v>0.5839256090776056</c:v>
                </c:pt>
                <c:pt idx="87">
                  <c:v>0.57503673673925881</c:v>
                </c:pt>
                <c:pt idx="88">
                  <c:v>0.56865232111970132</c:v>
                </c:pt>
                <c:pt idx="89">
                  <c:v>0.56507997035033963</c:v>
                </c:pt>
                <c:pt idx="90">
                  <c:v>0.56410787698434617</c:v>
                </c:pt>
                <c:pt idx="91">
                  <c:v>0.56543109596580121</c:v>
                </c:pt>
                <c:pt idx="92">
                  <c:v>0.56879711544348344</c:v>
                </c:pt>
                <c:pt idx="93">
                  <c:v>0.57451468929196825</c:v>
                </c:pt>
                <c:pt idx="94">
                  <c:v>0.58153297905339951</c:v>
                </c:pt>
                <c:pt idx="95">
                  <c:v>0.59064181006983485</c:v>
                </c:pt>
                <c:pt idx="96">
                  <c:v>0.60114026159573886</c:v>
                </c:pt>
                <c:pt idx="97">
                  <c:v>0.61394715105961051</c:v>
                </c:pt>
                <c:pt idx="98">
                  <c:v>0.62830425088229103</c:v>
                </c:pt>
                <c:pt idx="99">
                  <c:v>0.64305678041987002</c:v>
                </c:pt>
                <c:pt idx="100">
                  <c:v>0.65935762243929474</c:v>
                </c:pt>
                <c:pt idx="101">
                  <c:v>0.67722268529679319</c:v>
                </c:pt>
                <c:pt idx="102">
                  <c:v>0.6961130782748981</c:v>
                </c:pt>
                <c:pt idx="103">
                  <c:v>0.71602071576152015</c:v>
                </c:pt>
                <c:pt idx="104">
                  <c:v>0.7366717150137696</c:v>
                </c:pt>
                <c:pt idx="105">
                  <c:v>0.75835392199861118</c:v>
                </c:pt>
                <c:pt idx="106">
                  <c:v>0.78188481369545149</c:v>
                </c:pt>
                <c:pt idx="107">
                  <c:v>0.80579102035331851</c:v>
                </c:pt>
                <c:pt idx="108">
                  <c:v>0.82739706879014008</c:v>
                </c:pt>
                <c:pt idx="109">
                  <c:v>0.85343788684244337</c:v>
                </c:pt>
                <c:pt idx="110">
                  <c:v>0.87729274568165194</c:v>
                </c:pt>
                <c:pt idx="111">
                  <c:v>0.90378541465359474</c:v>
                </c:pt>
                <c:pt idx="112">
                  <c:v>0.92885470954891725</c:v>
                </c:pt>
                <c:pt idx="113">
                  <c:v>0.95381710925911845</c:v>
                </c:pt>
                <c:pt idx="114">
                  <c:v>0.97893480279743117</c:v>
                </c:pt>
                <c:pt idx="115">
                  <c:v>1.0033307495684922</c:v>
                </c:pt>
                <c:pt idx="116">
                  <c:v>1.026571940168969</c:v>
                </c:pt>
                <c:pt idx="117">
                  <c:v>1.0485799050931466</c:v>
                </c:pt>
                <c:pt idx="118">
                  <c:v>1.0688371836142041</c:v>
                </c:pt>
                <c:pt idx="119">
                  <c:v>1.0871086784510229</c:v>
                </c:pt>
                <c:pt idx="120">
                  <c:v>1.1022684706964598</c:v>
                </c:pt>
              </c:numCache>
            </c:numRef>
          </c:yVal>
          <c:smooth val="1"/>
          <c:extLst>
            <c:ext xmlns:c16="http://schemas.microsoft.com/office/drawing/2014/chart" uri="{C3380CC4-5D6E-409C-BE32-E72D297353CC}">
              <c16:uniqueId val="{00000000-B150-444B-BB8F-266B60DDA772}"/>
            </c:ext>
          </c:extLst>
        </c:ser>
        <c:ser>
          <c:idx val="1"/>
          <c:order val="1"/>
          <c:tx>
            <c:v>Pico 9 - CAL1</c:v>
          </c:tx>
          <c:spPr>
            <a:ln>
              <a:solidFill>
                <a:srgbClr val="FF0000"/>
              </a:solidFill>
            </a:ln>
          </c:spPr>
          <c:marker>
            <c:symbol val="none"/>
          </c:marker>
          <c:xVal>
            <c:numRef>
              <c:f>'Registro Original'!$B$102:$B$126</c:f>
              <c:numCache>
                <c:formatCode>0.0</c:formatCode>
                <c:ptCount val="25"/>
                <c:pt idx="0">
                  <c:v>472</c:v>
                </c:pt>
                <c:pt idx="1">
                  <c:v>471</c:v>
                </c:pt>
                <c:pt idx="2">
                  <c:v>470</c:v>
                </c:pt>
                <c:pt idx="3">
                  <c:v>469</c:v>
                </c:pt>
                <c:pt idx="4">
                  <c:v>468</c:v>
                </c:pt>
                <c:pt idx="5">
                  <c:v>467</c:v>
                </c:pt>
                <c:pt idx="6">
                  <c:v>466</c:v>
                </c:pt>
                <c:pt idx="7">
                  <c:v>465</c:v>
                </c:pt>
                <c:pt idx="8">
                  <c:v>464</c:v>
                </c:pt>
                <c:pt idx="9">
                  <c:v>463</c:v>
                </c:pt>
                <c:pt idx="10">
                  <c:v>462</c:v>
                </c:pt>
                <c:pt idx="11">
                  <c:v>461</c:v>
                </c:pt>
                <c:pt idx="12">
                  <c:v>460</c:v>
                </c:pt>
                <c:pt idx="13">
                  <c:v>459</c:v>
                </c:pt>
                <c:pt idx="14">
                  <c:v>458</c:v>
                </c:pt>
                <c:pt idx="15">
                  <c:v>457</c:v>
                </c:pt>
                <c:pt idx="16">
                  <c:v>456</c:v>
                </c:pt>
                <c:pt idx="17">
                  <c:v>455</c:v>
                </c:pt>
                <c:pt idx="18">
                  <c:v>454</c:v>
                </c:pt>
                <c:pt idx="19">
                  <c:v>453</c:v>
                </c:pt>
                <c:pt idx="20">
                  <c:v>452</c:v>
                </c:pt>
                <c:pt idx="21">
                  <c:v>451</c:v>
                </c:pt>
                <c:pt idx="22">
                  <c:v>450</c:v>
                </c:pt>
                <c:pt idx="23">
                  <c:v>449</c:v>
                </c:pt>
                <c:pt idx="24">
                  <c:v>448</c:v>
                </c:pt>
              </c:numCache>
            </c:numRef>
          </c:xVal>
          <c:yVal>
            <c:numRef>
              <c:f>'Registro Original'!$C$102:$C$126</c:f>
              <c:numCache>
                <c:formatCode>0.000</c:formatCode>
                <c:ptCount val="25"/>
                <c:pt idx="6">
                  <c:v>0.22700000000000001</c:v>
                </c:pt>
                <c:pt idx="7">
                  <c:v>0.29399999999999998</c:v>
                </c:pt>
                <c:pt idx="8">
                  <c:v>0.38300000000000001</c:v>
                </c:pt>
                <c:pt idx="9">
                  <c:v>0.52</c:v>
                </c:pt>
                <c:pt idx="10">
                  <c:v>0.623</c:v>
                </c:pt>
                <c:pt idx="11">
                  <c:v>0.68700000000000006</c:v>
                </c:pt>
                <c:pt idx="12">
                  <c:v>0.69099999999999995</c:v>
                </c:pt>
                <c:pt idx="13">
                  <c:v>0.64400000000000002</c:v>
                </c:pt>
                <c:pt idx="14">
                  <c:v>0.59699999999999998</c:v>
                </c:pt>
                <c:pt idx="15">
                  <c:v>0.58299999999999996</c:v>
                </c:pt>
                <c:pt idx="16">
                  <c:v>0.61099999999999999</c:v>
                </c:pt>
                <c:pt idx="17">
                  <c:v>0.65800000000000003</c:v>
                </c:pt>
                <c:pt idx="18">
                  <c:v>0.69</c:v>
                </c:pt>
              </c:numCache>
            </c:numRef>
          </c:yVal>
          <c:smooth val="1"/>
          <c:extLst>
            <c:ext xmlns:c16="http://schemas.microsoft.com/office/drawing/2014/chart" uri="{C3380CC4-5D6E-409C-BE32-E72D297353CC}">
              <c16:uniqueId val="{00000001-B150-444B-BB8F-266B60DDA772}"/>
            </c:ext>
          </c:extLst>
        </c:ser>
        <c:ser>
          <c:idx val="2"/>
          <c:order val="2"/>
          <c:tx>
            <c:v>Pico 9 - Largura de banda</c:v>
          </c:tx>
          <c:spPr>
            <a:ln w="15875">
              <a:solidFill>
                <a:srgbClr val="FFC000"/>
              </a:solidFill>
            </a:ln>
          </c:spPr>
          <c:marker>
            <c:symbol val="none"/>
          </c:marker>
          <c:xVal>
            <c:numRef>
              <c:f>'Registro Original'!$AE$104:$CM$104</c:f>
              <c:numCache>
                <c:formatCode>General</c:formatCode>
                <c:ptCount val="61"/>
                <c:pt idx="0">
                  <c:v>453.9</c:v>
                </c:pt>
                <c:pt idx="1">
                  <c:v>454.09999999999997</c:v>
                </c:pt>
                <c:pt idx="2">
                  <c:v>454.29999999999995</c:v>
                </c:pt>
                <c:pt idx="3">
                  <c:v>454.49999999999994</c:v>
                </c:pt>
                <c:pt idx="4">
                  <c:v>454.69999999999993</c:v>
                </c:pt>
                <c:pt idx="5">
                  <c:v>454.89999999999992</c:v>
                </c:pt>
                <c:pt idx="6">
                  <c:v>455.09999999999991</c:v>
                </c:pt>
                <c:pt idx="7">
                  <c:v>455.2999999999999</c:v>
                </c:pt>
                <c:pt idx="8">
                  <c:v>455.49999999999989</c:v>
                </c:pt>
                <c:pt idx="9">
                  <c:v>455.69999999999987</c:v>
                </c:pt>
                <c:pt idx="10">
                  <c:v>455.89999999999986</c:v>
                </c:pt>
                <c:pt idx="11">
                  <c:v>456.09999999999985</c:v>
                </c:pt>
                <c:pt idx="12">
                  <c:v>456.29999999999984</c:v>
                </c:pt>
                <c:pt idx="13">
                  <c:v>456.49999999999983</c:v>
                </c:pt>
                <c:pt idx="14">
                  <c:v>456.69999999999982</c:v>
                </c:pt>
                <c:pt idx="15">
                  <c:v>456.89999999999981</c:v>
                </c:pt>
                <c:pt idx="16">
                  <c:v>457.0999999999998</c:v>
                </c:pt>
                <c:pt idx="17">
                  <c:v>457.29999999999978</c:v>
                </c:pt>
                <c:pt idx="18">
                  <c:v>457.49999999999977</c:v>
                </c:pt>
                <c:pt idx="19">
                  <c:v>457.69999999999976</c:v>
                </c:pt>
                <c:pt idx="20">
                  <c:v>457.89999999999975</c:v>
                </c:pt>
                <c:pt idx="21">
                  <c:v>458.09999999999974</c:v>
                </c:pt>
                <c:pt idx="22">
                  <c:v>458.29999999999973</c:v>
                </c:pt>
                <c:pt idx="23">
                  <c:v>458.49999999999972</c:v>
                </c:pt>
                <c:pt idx="24">
                  <c:v>458.6999999999997</c:v>
                </c:pt>
                <c:pt idx="25">
                  <c:v>458.89999999999969</c:v>
                </c:pt>
                <c:pt idx="26">
                  <c:v>459.09999999999968</c:v>
                </c:pt>
                <c:pt idx="27">
                  <c:v>459.29999999999967</c:v>
                </c:pt>
                <c:pt idx="28">
                  <c:v>459.49999999999966</c:v>
                </c:pt>
                <c:pt idx="29">
                  <c:v>459.69999999999965</c:v>
                </c:pt>
                <c:pt idx="30">
                  <c:v>459.89999999999964</c:v>
                </c:pt>
                <c:pt idx="31">
                  <c:v>460.09999999999962</c:v>
                </c:pt>
                <c:pt idx="32">
                  <c:v>460.29999999999961</c:v>
                </c:pt>
                <c:pt idx="33">
                  <c:v>460.4999999999996</c:v>
                </c:pt>
                <c:pt idx="34">
                  <c:v>460.69999999999959</c:v>
                </c:pt>
                <c:pt idx="35">
                  <c:v>460.89999999999958</c:v>
                </c:pt>
                <c:pt idx="36">
                  <c:v>461.09999999999957</c:v>
                </c:pt>
                <c:pt idx="37">
                  <c:v>461.29999999999956</c:v>
                </c:pt>
                <c:pt idx="38">
                  <c:v>461.49999999999955</c:v>
                </c:pt>
                <c:pt idx="39">
                  <c:v>461.69999999999953</c:v>
                </c:pt>
                <c:pt idx="40">
                  <c:v>461.89999999999952</c:v>
                </c:pt>
                <c:pt idx="41">
                  <c:v>462.09999999999951</c:v>
                </c:pt>
                <c:pt idx="42">
                  <c:v>462.2999999999995</c:v>
                </c:pt>
                <c:pt idx="43">
                  <c:v>462.49999999999949</c:v>
                </c:pt>
                <c:pt idx="44">
                  <c:v>462.69999999999948</c:v>
                </c:pt>
                <c:pt idx="45">
                  <c:v>462.89999999999947</c:v>
                </c:pt>
                <c:pt idx="46">
                  <c:v>463.09999999999945</c:v>
                </c:pt>
                <c:pt idx="47">
                  <c:v>463.29999999999944</c:v>
                </c:pt>
                <c:pt idx="48">
                  <c:v>463.49999999999943</c:v>
                </c:pt>
                <c:pt idx="49">
                  <c:v>463.69999999999942</c:v>
                </c:pt>
                <c:pt idx="50">
                  <c:v>463.89999999999941</c:v>
                </c:pt>
                <c:pt idx="51">
                  <c:v>464.0999999999994</c:v>
                </c:pt>
                <c:pt idx="52">
                  <c:v>464.29999999999939</c:v>
                </c:pt>
                <c:pt idx="53">
                  <c:v>464.49999999999937</c:v>
                </c:pt>
                <c:pt idx="54">
                  <c:v>464.69999999999936</c:v>
                </c:pt>
                <c:pt idx="55">
                  <c:v>464.89999999999935</c:v>
                </c:pt>
                <c:pt idx="56">
                  <c:v>465.09999999999934</c:v>
                </c:pt>
                <c:pt idx="57">
                  <c:v>465.29999999999933</c:v>
                </c:pt>
                <c:pt idx="58">
                  <c:v>465.49999999999932</c:v>
                </c:pt>
                <c:pt idx="59">
                  <c:v>465.69999999999931</c:v>
                </c:pt>
                <c:pt idx="60">
                  <c:v>465.8999999999993</c:v>
                </c:pt>
              </c:numCache>
            </c:numRef>
          </c:xVal>
          <c:yVal>
            <c:numRef>
              <c:f>'Registro Original'!$AE$105:$CM$105</c:f>
              <c:numCache>
                <c:formatCode>General</c:formatCode>
                <c:ptCount val="61"/>
                <c:pt idx="0" formatCode="0.0000">
                  <c:v>0.92200000000000004</c:v>
                </c:pt>
                <c:pt idx="1">
                  <c:v>0.92200000000000004</c:v>
                </c:pt>
                <c:pt idx="2">
                  <c:v>0.92200000000000004</c:v>
                </c:pt>
                <c:pt idx="3">
                  <c:v>0.92200000000000004</c:v>
                </c:pt>
                <c:pt idx="4">
                  <c:v>0.92200000000000004</c:v>
                </c:pt>
                <c:pt idx="5">
                  <c:v>0.92200000000000004</c:v>
                </c:pt>
                <c:pt idx="6">
                  <c:v>0.92200000000000004</c:v>
                </c:pt>
                <c:pt idx="7">
                  <c:v>0.92200000000000004</c:v>
                </c:pt>
                <c:pt idx="8">
                  <c:v>0.92200000000000004</c:v>
                </c:pt>
                <c:pt idx="9">
                  <c:v>0.92200000000000004</c:v>
                </c:pt>
                <c:pt idx="10">
                  <c:v>0.92200000000000004</c:v>
                </c:pt>
                <c:pt idx="11">
                  <c:v>0.92200000000000004</c:v>
                </c:pt>
                <c:pt idx="12">
                  <c:v>0.92200000000000004</c:v>
                </c:pt>
                <c:pt idx="13">
                  <c:v>0.92200000000000004</c:v>
                </c:pt>
                <c:pt idx="14">
                  <c:v>0.92200000000000004</c:v>
                </c:pt>
                <c:pt idx="15">
                  <c:v>0.92200000000000004</c:v>
                </c:pt>
                <c:pt idx="16">
                  <c:v>0.92200000000000004</c:v>
                </c:pt>
                <c:pt idx="17">
                  <c:v>0.92200000000000004</c:v>
                </c:pt>
                <c:pt idx="18">
                  <c:v>0.92200000000000004</c:v>
                </c:pt>
                <c:pt idx="19">
                  <c:v>0.92200000000000004</c:v>
                </c:pt>
                <c:pt idx="20">
                  <c:v>0.92200000000000004</c:v>
                </c:pt>
                <c:pt idx="21">
                  <c:v>0.92200000000000004</c:v>
                </c:pt>
                <c:pt idx="22">
                  <c:v>0.92200000000000004</c:v>
                </c:pt>
                <c:pt idx="23">
                  <c:v>0.92200000000000004</c:v>
                </c:pt>
                <c:pt idx="24">
                  <c:v>0.92200000000000004</c:v>
                </c:pt>
                <c:pt idx="25">
                  <c:v>0.92200000000000004</c:v>
                </c:pt>
                <c:pt idx="26">
                  <c:v>0.92200000000000004</c:v>
                </c:pt>
                <c:pt idx="27">
                  <c:v>0.92200000000000004</c:v>
                </c:pt>
                <c:pt idx="28">
                  <c:v>0.92200000000000004</c:v>
                </c:pt>
                <c:pt idx="29">
                  <c:v>0.92200000000000004</c:v>
                </c:pt>
                <c:pt idx="30">
                  <c:v>0.92200000000000004</c:v>
                </c:pt>
                <c:pt idx="31">
                  <c:v>0.92200000000000004</c:v>
                </c:pt>
                <c:pt idx="32">
                  <c:v>0.92200000000000004</c:v>
                </c:pt>
                <c:pt idx="33">
                  <c:v>0.92200000000000004</c:v>
                </c:pt>
                <c:pt idx="34">
                  <c:v>0.92200000000000004</c:v>
                </c:pt>
                <c:pt idx="35">
                  <c:v>0.92200000000000004</c:v>
                </c:pt>
                <c:pt idx="36">
                  <c:v>0.92200000000000004</c:v>
                </c:pt>
                <c:pt idx="37">
                  <c:v>0.92200000000000004</c:v>
                </c:pt>
                <c:pt idx="38">
                  <c:v>0.92200000000000004</c:v>
                </c:pt>
                <c:pt idx="39">
                  <c:v>0.92200000000000004</c:v>
                </c:pt>
                <c:pt idx="40">
                  <c:v>0.92200000000000004</c:v>
                </c:pt>
                <c:pt idx="41">
                  <c:v>0.92200000000000004</c:v>
                </c:pt>
                <c:pt idx="42">
                  <c:v>0.92200000000000004</c:v>
                </c:pt>
                <c:pt idx="43">
                  <c:v>0.92200000000000004</c:v>
                </c:pt>
                <c:pt idx="44">
                  <c:v>0.92200000000000004</c:v>
                </c:pt>
                <c:pt idx="45">
                  <c:v>0.92200000000000004</c:v>
                </c:pt>
                <c:pt idx="46">
                  <c:v>0.92200000000000004</c:v>
                </c:pt>
                <c:pt idx="47">
                  <c:v>0.92200000000000004</c:v>
                </c:pt>
                <c:pt idx="48">
                  <c:v>0.92200000000000004</c:v>
                </c:pt>
                <c:pt idx="49">
                  <c:v>0.92200000000000004</c:v>
                </c:pt>
                <c:pt idx="50">
                  <c:v>0.92200000000000004</c:v>
                </c:pt>
                <c:pt idx="51">
                  <c:v>0.92200000000000004</c:v>
                </c:pt>
                <c:pt idx="52">
                  <c:v>0.92200000000000004</c:v>
                </c:pt>
                <c:pt idx="53">
                  <c:v>0.92200000000000004</c:v>
                </c:pt>
                <c:pt idx="54">
                  <c:v>0.92200000000000004</c:v>
                </c:pt>
                <c:pt idx="55">
                  <c:v>0.92200000000000004</c:v>
                </c:pt>
                <c:pt idx="56">
                  <c:v>0.92200000000000004</c:v>
                </c:pt>
                <c:pt idx="57">
                  <c:v>0.92200000000000004</c:v>
                </c:pt>
                <c:pt idx="58">
                  <c:v>0.92200000000000004</c:v>
                </c:pt>
                <c:pt idx="59">
                  <c:v>0.92200000000000004</c:v>
                </c:pt>
                <c:pt idx="60">
                  <c:v>0.92200000000000004</c:v>
                </c:pt>
              </c:numCache>
            </c:numRef>
          </c:yVal>
          <c:smooth val="1"/>
          <c:extLst>
            <c:ext xmlns:c16="http://schemas.microsoft.com/office/drawing/2014/chart" uri="{C3380CC4-5D6E-409C-BE32-E72D297353CC}">
              <c16:uniqueId val="{00000002-B150-444B-BB8F-266B60DDA772}"/>
            </c:ext>
          </c:extLst>
        </c:ser>
        <c:ser>
          <c:idx val="3"/>
          <c:order val="3"/>
          <c:tx>
            <c:v>Pico 9 - CAL2</c:v>
          </c:tx>
          <c:spPr>
            <a:ln>
              <a:solidFill>
                <a:srgbClr val="00B050"/>
              </a:solidFill>
            </a:ln>
          </c:spPr>
          <c:marker>
            <c:symbol val="none"/>
          </c:marker>
          <c:xVal>
            <c:numRef>
              <c:f>'Registro Original'!$E$102:$E$126</c:f>
              <c:numCache>
                <c:formatCode>0.0</c:formatCode>
                <c:ptCount val="25"/>
                <c:pt idx="0">
                  <c:v>466</c:v>
                </c:pt>
                <c:pt idx="1">
                  <c:v>465.5</c:v>
                </c:pt>
                <c:pt idx="2">
                  <c:v>465</c:v>
                </c:pt>
                <c:pt idx="3">
                  <c:v>464.5</c:v>
                </c:pt>
                <c:pt idx="4">
                  <c:v>464</c:v>
                </c:pt>
                <c:pt idx="5">
                  <c:v>463.5</c:v>
                </c:pt>
                <c:pt idx="6">
                  <c:v>463</c:v>
                </c:pt>
                <c:pt idx="7">
                  <c:v>462.5</c:v>
                </c:pt>
                <c:pt idx="8">
                  <c:v>462</c:v>
                </c:pt>
                <c:pt idx="9">
                  <c:v>461.5</c:v>
                </c:pt>
                <c:pt idx="10">
                  <c:v>461</c:v>
                </c:pt>
                <c:pt idx="11">
                  <c:v>460.5</c:v>
                </c:pt>
                <c:pt idx="12">
                  <c:v>460</c:v>
                </c:pt>
                <c:pt idx="13">
                  <c:v>459.5</c:v>
                </c:pt>
                <c:pt idx="14">
                  <c:v>459</c:v>
                </c:pt>
                <c:pt idx="15">
                  <c:v>458.5</c:v>
                </c:pt>
                <c:pt idx="16">
                  <c:v>458</c:v>
                </c:pt>
                <c:pt idx="17">
                  <c:v>457.5</c:v>
                </c:pt>
                <c:pt idx="18">
                  <c:v>457</c:v>
                </c:pt>
                <c:pt idx="19">
                  <c:v>456.5</c:v>
                </c:pt>
                <c:pt idx="20">
                  <c:v>456</c:v>
                </c:pt>
                <c:pt idx="21">
                  <c:v>455.5</c:v>
                </c:pt>
                <c:pt idx="22">
                  <c:v>455</c:v>
                </c:pt>
                <c:pt idx="23">
                  <c:v>454.5</c:v>
                </c:pt>
                <c:pt idx="24">
                  <c:v>454</c:v>
                </c:pt>
              </c:numCache>
            </c:numRef>
          </c:xVal>
          <c:yVal>
            <c:numRef>
              <c:f>'Registro Original'!$F$102:$F$126</c:f>
              <c:numCache>
                <c:formatCode>General</c:formatCode>
                <c:ptCount val="25"/>
                <c:pt idx="6">
                  <c:v>0.24399999999999999</c:v>
                </c:pt>
                <c:pt idx="7">
                  <c:v>0.31900000000000001</c:v>
                </c:pt>
                <c:pt idx="8">
                  <c:v>0.41499999999999998</c:v>
                </c:pt>
                <c:pt idx="9">
                  <c:v>0.55500000000000005</c:v>
                </c:pt>
                <c:pt idx="10">
                  <c:v>0.65</c:v>
                </c:pt>
                <c:pt idx="11">
                  <c:v>0.69799999999999995</c:v>
                </c:pt>
                <c:pt idx="12">
                  <c:v>0.68200000000000005</c:v>
                </c:pt>
                <c:pt idx="13">
                  <c:v>0.63</c:v>
                </c:pt>
                <c:pt idx="14">
                  <c:v>0.58699999999999997</c:v>
                </c:pt>
                <c:pt idx="15">
                  <c:v>0.58799999999999997</c:v>
                </c:pt>
                <c:pt idx="16">
                  <c:v>0.625</c:v>
                </c:pt>
                <c:pt idx="17">
                  <c:v>0.67100000000000004</c:v>
                </c:pt>
                <c:pt idx="18">
                  <c:v>0.69</c:v>
                </c:pt>
                <c:pt idx="19">
                  <c:v>0.67500000000000004</c:v>
                </c:pt>
              </c:numCache>
            </c:numRef>
          </c:yVal>
          <c:smooth val="1"/>
          <c:extLst>
            <c:ext xmlns:c16="http://schemas.microsoft.com/office/drawing/2014/chart" uri="{C3380CC4-5D6E-409C-BE32-E72D297353CC}">
              <c16:uniqueId val="{00000001-DA79-4197-A955-7DE08C045BF1}"/>
            </c:ext>
          </c:extLst>
        </c:ser>
        <c:dLbls>
          <c:showLegendKey val="0"/>
          <c:showVal val="0"/>
          <c:showCatName val="0"/>
          <c:showSerName val="0"/>
          <c:showPercent val="0"/>
          <c:showBubbleSize val="0"/>
        </c:dLbls>
        <c:axId val="77339264"/>
        <c:axId val="77357824"/>
      </c:scatterChart>
      <c:valAx>
        <c:axId val="77339264"/>
        <c:scaling>
          <c:orientation val="minMax"/>
          <c:max val="465.9"/>
          <c:min val="453.9"/>
        </c:scaling>
        <c:delete val="0"/>
        <c:axPos val="t"/>
        <c:title>
          <c:tx>
            <c:rich>
              <a:bodyPr/>
              <a:lstStyle/>
              <a:p>
                <a:pPr>
                  <a:defRPr sz="1000" b="1" i="0" u="none" strike="noStrike" baseline="0">
                    <a:solidFill>
                      <a:srgbClr val="000000"/>
                    </a:solidFill>
                    <a:latin typeface="Arial"/>
                    <a:ea typeface="Arial"/>
                    <a:cs typeface="Arial"/>
                  </a:defRPr>
                </a:pPr>
                <a:r>
                  <a:rPr lang="pt-BR"/>
                  <a:t>Comprimento</a:t>
                </a:r>
                <a:r>
                  <a:rPr lang="pt-BR" baseline="0"/>
                  <a:t> de Onda</a:t>
                </a:r>
                <a:r>
                  <a:rPr lang="pt-BR"/>
                  <a:t> [nm]</a:t>
                </a:r>
              </a:p>
            </c:rich>
          </c:tx>
          <c:layout>
            <c:manualLayout>
              <c:xMode val="edge"/>
              <c:yMode val="edge"/>
              <c:x val="0.43979123805746739"/>
              <c:y val="0.89920458737838493"/>
            </c:manualLayout>
          </c:layout>
          <c:overlay val="0"/>
          <c:spPr>
            <a:noFill/>
            <a:ln w="25400">
              <a:noFill/>
            </a:ln>
          </c:spPr>
        </c:title>
        <c:numFmt formatCode="0.0" sourceLinked="0"/>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pt-BR"/>
          </a:p>
        </c:txPr>
        <c:crossAx val="77357824"/>
        <c:crosses val="max"/>
        <c:crossBetween val="midCat"/>
        <c:majorUnit val="1"/>
        <c:minorUnit val="0.2"/>
      </c:valAx>
      <c:valAx>
        <c:axId val="77357824"/>
        <c:scaling>
          <c:orientation val="minMax"/>
          <c:max val="1.4"/>
          <c:min val="0.22000000000000003"/>
        </c:scaling>
        <c:delete val="0"/>
        <c:axPos val="l"/>
        <c:majorGridlines>
          <c:spPr>
            <a:ln w="3175">
              <a:solidFill>
                <a:schemeClr val="bg1">
                  <a:lumMod val="65000"/>
                </a:schemeClr>
              </a:solidFill>
              <a:prstDash val="solid"/>
            </a:ln>
          </c:spPr>
        </c:majorGridlines>
        <c:title>
          <c:tx>
            <c:rich>
              <a:bodyPr/>
              <a:lstStyle/>
              <a:p>
                <a:pPr>
                  <a:defRPr sz="1000" b="1" i="0" u="none" strike="noStrike" baseline="0">
                    <a:solidFill>
                      <a:srgbClr val="000000"/>
                    </a:solidFill>
                    <a:latin typeface="Arial"/>
                    <a:ea typeface="Arial"/>
                    <a:cs typeface="Arial"/>
                  </a:defRPr>
                </a:pPr>
                <a:r>
                  <a:rPr lang="pt-BR"/>
                  <a:t>Absorbância </a:t>
                </a:r>
              </a:p>
            </c:rich>
          </c:tx>
          <c:layout>
            <c:manualLayout>
              <c:xMode val="edge"/>
              <c:yMode val="edge"/>
              <c:x val="1.6112896695887842E-2"/>
              <c:y val="0.34345550179721523"/>
            </c:manualLayout>
          </c:layout>
          <c:overlay val="0"/>
          <c:spPr>
            <a:noFill/>
            <a:ln w="25400">
              <a:noFill/>
            </a:ln>
          </c:spPr>
        </c:title>
        <c:numFmt formatCode="0.00" sourceLinked="0"/>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pt-BR"/>
          </a:p>
        </c:txPr>
        <c:crossAx val="77339264"/>
        <c:crosses val="autoZero"/>
        <c:crossBetween val="midCat"/>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pt-BR"/>
    </a:p>
  </c:txPr>
  <c:printSettings>
    <c:headerFooter alignWithMargins="0"/>
    <c:pageMargins b="0.98425196899999978" l="0.78740157499999996" r="0.78740157499999996" t="0.98425196899999978"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b="1"/>
              <a:t>Pico 8</a:t>
            </a:r>
            <a:r>
              <a:rPr lang="en-US" sz="1100" b="1" baseline="0"/>
              <a:t>  -  453,4 nm</a:t>
            </a:r>
            <a:endParaRPr lang="en-US" sz="1100" b="1"/>
          </a:p>
        </c:rich>
      </c:tx>
      <c:layout>
        <c:manualLayout>
          <c:xMode val="edge"/>
          <c:yMode val="edge"/>
          <c:x val="0.56670496376632151"/>
          <c:y val="0.10219296587926509"/>
        </c:manualLayout>
      </c:layout>
      <c:overlay val="0"/>
    </c:title>
    <c:autoTitleDeleted val="0"/>
    <c:plotArea>
      <c:layout>
        <c:manualLayout>
          <c:layoutTarget val="inner"/>
          <c:xMode val="edge"/>
          <c:yMode val="edge"/>
          <c:x val="8.431671917914467E-2"/>
          <c:y val="4.9897952755905528E-2"/>
          <c:w val="0.81675531869566498"/>
          <c:h val="0.74801061007957614"/>
        </c:manualLayout>
      </c:layout>
      <c:scatterChart>
        <c:scatterStyle val="smoothMarker"/>
        <c:varyColors val="0"/>
        <c:ser>
          <c:idx val="0"/>
          <c:order val="0"/>
          <c:tx>
            <c:v>Pico 8</c:v>
          </c:tx>
          <c:spPr>
            <a:ln w="12700">
              <a:solidFill>
                <a:srgbClr val="000080"/>
              </a:solidFill>
              <a:prstDash val="solid"/>
            </a:ln>
          </c:spPr>
          <c:marker>
            <c:symbol val="none"/>
          </c:marker>
          <c:xVal>
            <c:numRef>
              <c:f>'Registro Original'!$AA$2211:$AA$2331</c:f>
              <c:numCache>
                <c:formatCode>0.0</c:formatCode>
                <c:ptCount val="121"/>
                <c:pt idx="0">
                  <c:v>459.4</c:v>
                </c:pt>
                <c:pt idx="1">
                  <c:v>459.3</c:v>
                </c:pt>
                <c:pt idx="2">
                  <c:v>459.2</c:v>
                </c:pt>
                <c:pt idx="3">
                  <c:v>459.1</c:v>
                </c:pt>
                <c:pt idx="4">
                  <c:v>459</c:v>
                </c:pt>
                <c:pt idx="5">
                  <c:v>458.9</c:v>
                </c:pt>
                <c:pt idx="6">
                  <c:v>458.8</c:v>
                </c:pt>
                <c:pt idx="7">
                  <c:v>458.7</c:v>
                </c:pt>
                <c:pt idx="8">
                  <c:v>458.6</c:v>
                </c:pt>
                <c:pt idx="9">
                  <c:v>458.5</c:v>
                </c:pt>
                <c:pt idx="10">
                  <c:v>458.4</c:v>
                </c:pt>
                <c:pt idx="11">
                  <c:v>458.3</c:v>
                </c:pt>
                <c:pt idx="12">
                  <c:v>458.2</c:v>
                </c:pt>
                <c:pt idx="13">
                  <c:v>458.1</c:v>
                </c:pt>
                <c:pt idx="14">
                  <c:v>458</c:v>
                </c:pt>
                <c:pt idx="15">
                  <c:v>457.9</c:v>
                </c:pt>
                <c:pt idx="16">
                  <c:v>457.8</c:v>
                </c:pt>
                <c:pt idx="17">
                  <c:v>457.7</c:v>
                </c:pt>
                <c:pt idx="18">
                  <c:v>457.6</c:v>
                </c:pt>
                <c:pt idx="19">
                  <c:v>457.5</c:v>
                </c:pt>
                <c:pt idx="20">
                  <c:v>457.4</c:v>
                </c:pt>
                <c:pt idx="21">
                  <c:v>457.3</c:v>
                </c:pt>
                <c:pt idx="22">
                  <c:v>457.2</c:v>
                </c:pt>
                <c:pt idx="23">
                  <c:v>457.1</c:v>
                </c:pt>
                <c:pt idx="24">
                  <c:v>457</c:v>
                </c:pt>
                <c:pt idx="25">
                  <c:v>456.9</c:v>
                </c:pt>
                <c:pt idx="26">
                  <c:v>456.8</c:v>
                </c:pt>
                <c:pt idx="27">
                  <c:v>456.7</c:v>
                </c:pt>
                <c:pt idx="28">
                  <c:v>456.6</c:v>
                </c:pt>
                <c:pt idx="29">
                  <c:v>456.5</c:v>
                </c:pt>
                <c:pt idx="30">
                  <c:v>456.4</c:v>
                </c:pt>
                <c:pt idx="31">
                  <c:v>456.3</c:v>
                </c:pt>
                <c:pt idx="32">
                  <c:v>456.2</c:v>
                </c:pt>
                <c:pt idx="33">
                  <c:v>456.1</c:v>
                </c:pt>
                <c:pt idx="34">
                  <c:v>456</c:v>
                </c:pt>
                <c:pt idx="35">
                  <c:v>455.9</c:v>
                </c:pt>
                <c:pt idx="36">
                  <c:v>455.8</c:v>
                </c:pt>
                <c:pt idx="37">
                  <c:v>455.7</c:v>
                </c:pt>
                <c:pt idx="38">
                  <c:v>455.6</c:v>
                </c:pt>
                <c:pt idx="39">
                  <c:v>455.5</c:v>
                </c:pt>
                <c:pt idx="40">
                  <c:v>455.4</c:v>
                </c:pt>
                <c:pt idx="41">
                  <c:v>455.3</c:v>
                </c:pt>
                <c:pt idx="42">
                  <c:v>455.2</c:v>
                </c:pt>
                <c:pt idx="43">
                  <c:v>455.1</c:v>
                </c:pt>
                <c:pt idx="44">
                  <c:v>455</c:v>
                </c:pt>
                <c:pt idx="45">
                  <c:v>454.9</c:v>
                </c:pt>
                <c:pt idx="46">
                  <c:v>454.8</c:v>
                </c:pt>
                <c:pt idx="47">
                  <c:v>454.7</c:v>
                </c:pt>
                <c:pt idx="48">
                  <c:v>454.6</c:v>
                </c:pt>
                <c:pt idx="49">
                  <c:v>454.5</c:v>
                </c:pt>
                <c:pt idx="50">
                  <c:v>454.4</c:v>
                </c:pt>
                <c:pt idx="51">
                  <c:v>454.3</c:v>
                </c:pt>
                <c:pt idx="52">
                  <c:v>454.2</c:v>
                </c:pt>
                <c:pt idx="53">
                  <c:v>454.1</c:v>
                </c:pt>
                <c:pt idx="54">
                  <c:v>454</c:v>
                </c:pt>
                <c:pt idx="55">
                  <c:v>453.9</c:v>
                </c:pt>
                <c:pt idx="56">
                  <c:v>453.8</c:v>
                </c:pt>
                <c:pt idx="57">
                  <c:v>453.7</c:v>
                </c:pt>
                <c:pt idx="58">
                  <c:v>453.6</c:v>
                </c:pt>
                <c:pt idx="59">
                  <c:v>453.5</c:v>
                </c:pt>
                <c:pt idx="60">
                  <c:v>453.4</c:v>
                </c:pt>
                <c:pt idx="61">
                  <c:v>453.3</c:v>
                </c:pt>
                <c:pt idx="62">
                  <c:v>453.2</c:v>
                </c:pt>
                <c:pt idx="63">
                  <c:v>453.1</c:v>
                </c:pt>
                <c:pt idx="64">
                  <c:v>453</c:v>
                </c:pt>
                <c:pt idx="65">
                  <c:v>452.9</c:v>
                </c:pt>
                <c:pt idx="66">
                  <c:v>452.8</c:v>
                </c:pt>
                <c:pt idx="67">
                  <c:v>452.7</c:v>
                </c:pt>
                <c:pt idx="68">
                  <c:v>452.6</c:v>
                </c:pt>
                <c:pt idx="69">
                  <c:v>452.5</c:v>
                </c:pt>
                <c:pt idx="70">
                  <c:v>452.4</c:v>
                </c:pt>
                <c:pt idx="71">
                  <c:v>452.3</c:v>
                </c:pt>
                <c:pt idx="72">
                  <c:v>452.2</c:v>
                </c:pt>
                <c:pt idx="73">
                  <c:v>452.1</c:v>
                </c:pt>
                <c:pt idx="74">
                  <c:v>452</c:v>
                </c:pt>
                <c:pt idx="75">
                  <c:v>451.9</c:v>
                </c:pt>
                <c:pt idx="76">
                  <c:v>451.8</c:v>
                </c:pt>
                <c:pt idx="77">
                  <c:v>451.7</c:v>
                </c:pt>
                <c:pt idx="78">
                  <c:v>451.6</c:v>
                </c:pt>
                <c:pt idx="79">
                  <c:v>451.5</c:v>
                </c:pt>
                <c:pt idx="80">
                  <c:v>451.4</c:v>
                </c:pt>
                <c:pt idx="81">
                  <c:v>451.3</c:v>
                </c:pt>
                <c:pt idx="82">
                  <c:v>451.2</c:v>
                </c:pt>
                <c:pt idx="83">
                  <c:v>451.1</c:v>
                </c:pt>
                <c:pt idx="84">
                  <c:v>451</c:v>
                </c:pt>
                <c:pt idx="85">
                  <c:v>450.9</c:v>
                </c:pt>
                <c:pt idx="86">
                  <c:v>450.8</c:v>
                </c:pt>
                <c:pt idx="87">
                  <c:v>450.7</c:v>
                </c:pt>
                <c:pt idx="88">
                  <c:v>450.6</c:v>
                </c:pt>
                <c:pt idx="89">
                  <c:v>450.5</c:v>
                </c:pt>
                <c:pt idx="90">
                  <c:v>450.4</c:v>
                </c:pt>
                <c:pt idx="91">
                  <c:v>450.3</c:v>
                </c:pt>
                <c:pt idx="92">
                  <c:v>450.2</c:v>
                </c:pt>
                <c:pt idx="93">
                  <c:v>450.1</c:v>
                </c:pt>
                <c:pt idx="94">
                  <c:v>450</c:v>
                </c:pt>
                <c:pt idx="95">
                  <c:v>449.9</c:v>
                </c:pt>
                <c:pt idx="96">
                  <c:v>449.8</c:v>
                </c:pt>
                <c:pt idx="97">
                  <c:v>449.7</c:v>
                </c:pt>
                <c:pt idx="98">
                  <c:v>449.6</c:v>
                </c:pt>
                <c:pt idx="99">
                  <c:v>449.5</c:v>
                </c:pt>
                <c:pt idx="100">
                  <c:v>449.4</c:v>
                </c:pt>
                <c:pt idx="101">
                  <c:v>449.3</c:v>
                </c:pt>
                <c:pt idx="102">
                  <c:v>449.2</c:v>
                </c:pt>
                <c:pt idx="103">
                  <c:v>449.1</c:v>
                </c:pt>
                <c:pt idx="104">
                  <c:v>449</c:v>
                </c:pt>
                <c:pt idx="105">
                  <c:v>448.9</c:v>
                </c:pt>
                <c:pt idx="106">
                  <c:v>448.8</c:v>
                </c:pt>
                <c:pt idx="107">
                  <c:v>448.7</c:v>
                </c:pt>
                <c:pt idx="108">
                  <c:v>448.6</c:v>
                </c:pt>
                <c:pt idx="109">
                  <c:v>448.5</c:v>
                </c:pt>
                <c:pt idx="110">
                  <c:v>448.4</c:v>
                </c:pt>
                <c:pt idx="111">
                  <c:v>448.3</c:v>
                </c:pt>
                <c:pt idx="112">
                  <c:v>448.2</c:v>
                </c:pt>
                <c:pt idx="113">
                  <c:v>448.1</c:v>
                </c:pt>
                <c:pt idx="114">
                  <c:v>448</c:v>
                </c:pt>
                <c:pt idx="115">
                  <c:v>447.9</c:v>
                </c:pt>
                <c:pt idx="116">
                  <c:v>447.8</c:v>
                </c:pt>
                <c:pt idx="117">
                  <c:v>447.7</c:v>
                </c:pt>
                <c:pt idx="118">
                  <c:v>447.6</c:v>
                </c:pt>
                <c:pt idx="119">
                  <c:v>447.5</c:v>
                </c:pt>
                <c:pt idx="120">
                  <c:v>447.4</c:v>
                </c:pt>
              </c:numCache>
            </c:numRef>
          </c:xVal>
          <c:yVal>
            <c:numRef>
              <c:f>'Registro Original'!$AC$2211:$AC$2331</c:f>
              <c:numCache>
                <c:formatCode>0.0000</c:formatCode>
                <c:ptCount val="121"/>
                <c:pt idx="0">
                  <c:v>1.1882373765516856</c:v>
                </c:pt>
                <c:pt idx="1">
                  <c:v>1.1606979686878076</c:v>
                </c:pt>
                <c:pt idx="2">
                  <c:v>1.1300528708258151</c:v>
                </c:pt>
                <c:pt idx="3">
                  <c:v>1.099627408554215</c:v>
                </c:pt>
                <c:pt idx="4">
                  <c:v>1.0657995972200096</c:v>
                </c:pt>
                <c:pt idx="5">
                  <c:v>1.0303791042991852</c:v>
                </c:pt>
                <c:pt idx="6">
                  <c:v>0.99310629205209955</c:v>
                </c:pt>
                <c:pt idx="7">
                  <c:v>0.9556954808240854</c:v>
                </c:pt>
                <c:pt idx="8">
                  <c:v>0.91840068726706381</c:v>
                </c:pt>
                <c:pt idx="9">
                  <c:v>0.88176835167297263</c:v>
                </c:pt>
                <c:pt idx="10">
                  <c:v>0.84487660628928773</c:v>
                </c:pt>
                <c:pt idx="11">
                  <c:v>0.81045354326107355</c:v>
                </c:pt>
                <c:pt idx="12">
                  <c:v>0.77759570891754437</c:v>
                </c:pt>
                <c:pt idx="13">
                  <c:v>0.74666199467389349</c:v>
                </c:pt>
                <c:pt idx="14">
                  <c:v>0.71735523281026059</c:v>
                </c:pt>
                <c:pt idx="15">
                  <c:v>0.68975289157171749</c:v>
                </c:pt>
                <c:pt idx="16">
                  <c:v>0.66548593435943615</c:v>
                </c:pt>
                <c:pt idx="17">
                  <c:v>0.64470176478883134</c:v>
                </c:pt>
                <c:pt idx="18">
                  <c:v>0.62545327206104073</c:v>
                </c:pt>
                <c:pt idx="19">
                  <c:v>0.60858848961438849</c:v>
                </c:pt>
                <c:pt idx="20">
                  <c:v>0.5948586246370503</c:v>
                </c:pt>
                <c:pt idx="21">
                  <c:v>0.5839256090776056</c:v>
                </c:pt>
                <c:pt idx="22">
                  <c:v>0.57503673673925881</c:v>
                </c:pt>
                <c:pt idx="23">
                  <c:v>0.56865232111970132</c:v>
                </c:pt>
                <c:pt idx="24">
                  <c:v>0.56507997035033963</c:v>
                </c:pt>
                <c:pt idx="25">
                  <c:v>0.56410787698434617</c:v>
                </c:pt>
                <c:pt idx="26">
                  <c:v>0.56543109596580121</c:v>
                </c:pt>
                <c:pt idx="27">
                  <c:v>0.56879711544348344</c:v>
                </c:pt>
                <c:pt idx="28">
                  <c:v>0.57451468929196825</c:v>
                </c:pt>
                <c:pt idx="29">
                  <c:v>0.58153297905339951</c:v>
                </c:pt>
                <c:pt idx="30">
                  <c:v>0.59064181006983485</c:v>
                </c:pt>
                <c:pt idx="31">
                  <c:v>0.60114026159573886</c:v>
                </c:pt>
                <c:pt idx="32">
                  <c:v>0.61394715105961051</c:v>
                </c:pt>
                <c:pt idx="33">
                  <c:v>0.62830425088229103</c:v>
                </c:pt>
                <c:pt idx="34">
                  <c:v>0.64305678041987002</c:v>
                </c:pt>
                <c:pt idx="35">
                  <c:v>0.65935762243929474</c:v>
                </c:pt>
                <c:pt idx="36">
                  <c:v>0.67722268529679319</c:v>
                </c:pt>
                <c:pt idx="37">
                  <c:v>0.6961130782748981</c:v>
                </c:pt>
                <c:pt idx="38">
                  <c:v>0.71602071576152015</c:v>
                </c:pt>
                <c:pt idx="39">
                  <c:v>0.7366717150137696</c:v>
                </c:pt>
                <c:pt idx="40">
                  <c:v>0.75835392199861118</c:v>
                </c:pt>
                <c:pt idx="41">
                  <c:v>0.78188481369545149</c:v>
                </c:pt>
                <c:pt idx="42">
                  <c:v>0.80579102035331851</c:v>
                </c:pt>
                <c:pt idx="43">
                  <c:v>0.82739706879014008</c:v>
                </c:pt>
                <c:pt idx="44">
                  <c:v>0.85343788684244337</c:v>
                </c:pt>
                <c:pt idx="45">
                  <c:v>0.87729274568165194</c:v>
                </c:pt>
                <c:pt idx="46">
                  <c:v>0.90378541465359474</c:v>
                </c:pt>
                <c:pt idx="47">
                  <c:v>0.92885470954891725</c:v>
                </c:pt>
                <c:pt idx="48">
                  <c:v>0.95381710925911845</c:v>
                </c:pt>
                <c:pt idx="49">
                  <c:v>0.97893480279743117</c:v>
                </c:pt>
                <c:pt idx="50">
                  <c:v>1.0033307495684922</c:v>
                </c:pt>
                <c:pt idx="51">
                  <c:v>1.026571940168969</c:v>
                </c:pt>
                <c:pt idx="52">
                  <c:v>1.0485799050931466</c:v>
                </c:pt>
                <c:pt idx="53">
                  <c:v>1.0688371836142041</c:v>
                </c:pt>
                <c:pt idx="54">
                  <c:v>1.0871086784510229</c:v>
                </c:pt>
                <c:pt idx="55">
                  <c:v>1.1022684706964598</c:v>
                </c:pt>
                <c:pt idx="56">
                  <c:v>1.1142600684412067</c:v>
                </c:pt>
                <c:pt idx="57">
                  <c:v>1.1222429139458192</c:v>
                </c:pt>
                <c:pt idx="58">
                  <c:v>1.1278612159722303</c:v>
                </c:pt>
                <c:pt idx="59">
                  <c:v>1.1293269389767024</c:v>
                </c:pt>
                <c:pt idx="60">
                  <c:v>1.1270749199322589</c:v>
                </c:pt>
                <c:pt idx="61">
                  <c:v>1.1214322498421818</c:v>
                </c:pt>
                <c:pt idx="62">
                  <c:v>1.1121071338745567</c:v>
                </c:pt>
                <c:pt idx="63">
                  <c:v>1.0998077168924278</c:v>
                </c:pt>
                <c:pt idx="64">
                  <c:v>1.0849644283126354</c:v>
                </c:pt>
                <c:pt idx="65">
                  <c:v>1.0682117030366209</c:v>
                </c:pt>
                <c:pt idx="66">
                  <c:v>1.0500735563320878</c:v>
                </c:pt>
                <c:pt idx="67">
                  <c:v>1.0295694348245326</c:v>
                </c:pt>
                <c:pt idx="68">
                  <c:v>1.0074862464535119</c:v>
                </c:pt>
                <c:pt idx="69">
                  <c:v>0.98568951903669288</c:v>
                </c:pt>
                <c:pt idx="70">
                  <c:v>0.96449021491044151</c:v>
                </c:pt>
                <c:pt idx="71">
                  <c:v>0.94313324634168716</c:v>
                </c:pt>
                <c:pt idx="72">
                  <c:v>0.9204569925970939</c:v>
                </c:pt>
                <c:pt idx="73">
                  <c:v>0.89873421500866502</c:v>
                </c:pt>
                <c:pt idx="74">
                  <c:v>0.87683462909708065</c:v>
                </c:pt>
                <c:pt idx="75">
                  <c:v>0.85579953981612089</c:v>
                </c:pt>
                <c:pt idx="76">
                  <c:v>0.83457759918543017</c:v>
                </c:pt>
                <c:pt idx="77">
                  <c:v>0.81440118941768547</c:v>
                </c:pt>
                <c:pt idx="78">
                  <c:v>0.79506647764585514</c:v>
                </c:pt>
                <c:pt idx="79">
                  <c:v>0.77658194309470574</c:v>
                </c:pt>
                <c:pt idx="80">
                  <c:v>0.75885213758830028</c:v>
                </c:pt>
                <c:pt idx="81">
                  <c:v>0.74277755381242594</c:v>
                </c:pt>
                <c:pt idx="82">
                  <c:v>0.72808872614010434</c:v>
                </c:pt>
                <c:pt idx="83">
                  <c:v>0.71500561327700551</c:v>
                </c:pt>
                <c:pt idx="84">
                  <c:v>0.70403726760597707</c:v>
                </c:pt>
                <c:pt idx="85">
                  <c:v>0.69531563402561392</c:v>
                </c:pt>
                <c:pt idx="86">
                  <c:v>0.68833088759938899</c:v>
                </c:pt>
                <c:pt idx="87">
                  <c:v>0.68392476516160317</c:v>
                </c:pt>
                <c:pt idx="88">
                  <c:v>0.68137328297003319</c:v>
                </c:pt>
                <c:pt idx="89">
                  <c:v>0.68181140584820399</c:v>
                </c:pt>
                <c:pt idx="90">
                  <c:v>0.68470154712637588</c:v>
                </c:pt>
                <c:pt idx="91">
                  <c:v>0.69011444033980618</c:v>
                </c:pt>
                <c:pt idx="92">
                  <c:v>0.69827568846966437</c:v>
                </c:pt>
                <c:pt idx="93">
                  <c:v>0.70931999458213713</c:v>
                </c:pt>
                <c:pt idx="94">
                  <c:v>0.72344629137568739</c:v>
                </c:pt>
                <c:pt idx="95">
                  <c:v>0.74109944321639165</c:v>
                </c:pt>
                <c:pt idx="96">
                  <c:v>0.76095090685980848</c:v>
                </c:pt>
                <c:pt idx="97">
                  <c:v>0.78412460453872435</c:v>
                </c:pt>
                <c:pt idx="98">
                  <c:v>0.80843721240827393</c:v>
                </c:pt>
                <c:pt idx="99">
                  <c:v>0.83821288125447668</c:v>
                </c:pt>
                <c:pt idx="100">
                  <c:v>0.87047122614122363</c:v>
                </c:pt>
                <c:pt idx="101">
                  <c:v>0.90538913696786305</c:v>
                </c:pt>
                <c:pt idx="102">
                  <c:v>0.94336190262034747</c:v>
                </c:pt>
                <c:pt idx="103">
                  <c:v>0.98585763845499419</c:v>
                </c:pt>
                <c:pt idx="104">
                  <c:v>1.0308870810983355</c:v>
                </c:pt>
                <c:pt idx="105">
                  <c:v>1.0801011868122743</c:v>
                </c:pt>
                <c:pt idx="106">
                  <c:v>1.1307682802690238</c:v>
                </c:pt>
                <c:pt idx="107">
                  <c:v>1.1872470278540381</c:v>
                </c:pt>
                <c:pt idx="108">
                  <c:v>1.2457510740504749</c:v>
                </c:pt>
                <c:pt idx="109">
                  <c:v>1.3084764778318456</c:v>
                </c:pt>
                <c:pt idx="110">
                  <c:v>1.3684446275870961</c:v>
                </c:pt>
                <c:pt idx="111">
                  <c:v>1.4334918007553767</c:v>
                </c:pt>
                <c:pt idx="112">
                  <c:v>1.4976548301020269</c:v>
                </c:pt>
                <c:pt idx="113">
                  <c:v>1.5670307091255944</c:v>
                </c:pt>
                <c:pt idx="114">
                  <c:v>1.6375740776913696</c:v>
                </c:pt>
                <c:pt idx="115">
                  <c:v>1.7069690943935629</c:v>
                </c:pt>
                <c:pt idx="116">
                  <c:v>1.7757778139153513</c:v>
                </c:pt>
                <c:pt idx="117">
                  <c:v>1.8456977803153356</c:v>
                </c:pt>
                <c:pt idx="118">
                  <c:v>1.9164615487698604</c:v>
                </c:pt>
                <c:pt idx="119">
                  <c:v>1.9848918393541628</c:v>
                </c:pt>
                <c:pt idx="120">
                  <c:v>2.0527918168715042</c:v>
                </c:pt>
              </c:numCache>
            </c:numRef>
          </c:yVal>
          <c:smooth val="1"/>
          <c:extLst>
            <c:ext xmlns:c16="http://schemas.microsoft.com/office/drawing/2014/chart" uri="{C3380CC4-5D6E-409C-BE32-E72D297353CC}">
              <c16:uniqueId val="{00000000-E0CD-4DBB-9726-F0087EF7CA89}"/>
            </c:ext>
          </c:extLst>
        </c:ser>
        <c:ser>
          <c:idx val="1"/>
          <c:order val="1"/>
          <c:tx>
            <c:v>Pico 8 - CAL1</c:v>
          </c:tx>
          <c:spPr>
            <a:ln>
              <a:solidFill>
                <a:srgbClr val="FF0000"/>
              </a:solidFill>
            </a:ln>
          </c:spPr>
          <c:marker>
            <c:symbol val="none"/>
          </c:marker>
          <c:xVal>
            <c:numRef>
              <c:f>'Registro Original'!$B$127:$B$151</c:f>
              <c:numCache>
                <c:formatCode>0.0</c:formatCode>
                <c:ptCount val="25"/>
                <c:pt idx="0">
                  <c:v>465</c:v>
                </c:pt>
                <c:pt idx="1">
                  <c:v>464</c:v>
                </c:pt>
                <c:pt idx="2">
                  <c:v>463</c:v>
                </c:pt>
                <c:pt idx="3">
                  <c:v>462</c:v>
                </c:pt>
                <c:pt idx="4">
                  <c:v>461</c:v>
                </c:pt>
                <c:pt idx="5">
                  <c:v>460</c:v>
                </c:pt>
                <c:pt idx="6">
                  <c:v>459</c:v>
                </c:pt>
                <c:pt idx="7">
                  <c:v>458</c:v>
                </c:pt>
                <c:pt idx="8">
                  <c:v>457</c:v>
                </c:pt>
                <c:pt idx="9">
                  <c:v>456</c:v>
                </c:pt>
                <c:pt idx="10">
                  <c:v>455</c:v>
                </c:pt>
                <c:pt idx="11">
                  <c:v>454</c:v>
                </c:pt>
                <c:pt idx="12">
                  <c:v>453</c:v>
                </c:pt>
                <c:pt idx="13">
                  <c:v>452</c:v>
                </c:pt>
                <c:pt idx="14">
                  <c:v>451</c:v>
                </c:pt>
                <c:pt idx="15">
                  <c:v>450</c:v>
                </c:pt>
                <c:pt idx="16">
                  <c:v>449</c:v>
                </c:pt>
                <c:pt idx="17">
                  <c:v>448</c:v>
                </c:pt>
                <c:pt idx="18">
                  <c:v>447</c:v>
                </c:pt>
                <c:pt idx="19">
                  <c:v>446</c:v>
                </c:pt>
                <c:pt idx="20">
                  <c:v>445</c:v>
                </c:pt>
                <c:pt idx="21">
                  <c:v>444</c:v>
                </c:pt>
                <c:pt idx="22">
                  <c:v>443</c:v>
                </c:pt>
                <c:pt idx="23">
                  <c:v>442</c:v>
                </c:pt>
                <c:pt idx="24">
                  <c:v>441</c:v>
                </c:pt>
              </c:numCache>
            </c:numRef>
          </c:xVal>
          <c:yVal>
            <c:numRef>
              <c:f>'Registro Original'!$C$127:$C$151</c:f>
              <c:numCache>
                <c:formatCode>0.000</c:formatCode>
                <c:ptCount val="25"/>
                <c:pt idx="5">
                  <c:v>0.69099999999999995</c:v>
                </c:pt>
                <c:pt idx="6">
                  <c:v>0.64400000000000002</c:v>
                </c:pt>
                <c:pt idx="7">
                  <c:v>0.59699999999999998</c:v>
                </c:pt>
                <c:pt idx="8">
                  <c:v>0.58299999999999996</c:v>
                </c:pt>
                <c:pt idx="9">
                  <c:v>0.61099999999999999</c:v>
                </c:pt>
                <c:pt idx="10">
                  <c:v>0.65800000000000003</c:v>
                </c:pt>
                <c:pt idx="11">
                  <c:v>0.69</c:v>
                </c:pt>
                <c:pt idx="12">
                  <c:v>0.68</c:v>
                </c:pt>
                <c:pt idx="13">
                  <c:v>0.66400000000000003</c:v>
                </c:pt>
                <c:pt idx="14">
                  <c:v>0.68100000000000005</c:v>
                </c:pt>
                <c:pt idx="15">
                  <c:v>0.745</c:v>
                </c:pt>
                <c:pt idx="16">
                  <c:v>0.85399999999999998</c:v>
                </c:pt>
                <c:pt idx="17">
                  <c:v>1.038</c:v>
                </c:pt>
                <c:pt idx="18">
                  <c:v>1.125</c:v>
                </c:pt>
              </c:numCache>
            </c:numRef>
          </c:yVal>
          <c:smooth val="1"/>
          <c:extLst>
            <c:ext xmlns:c16="http://schemas.microsoft.com/office/drawing/2014/chart" uri="{C3380CC4-5D6E-409C-BE32-E72D297353CC}">
              <c16:uniqueId val="{00000001-E0CD-4DBB-9726-F0087EF7CA89}"/>
            </c:ext>
          </c:extLst>
        </c:ser>
        <c:ser>
          <c:idx val="2"/>
          <c:order val="2"/>
          <c:tx>
            <c:v>Pico 8 - Largura de banda</c:v>
          </c:tx>
          <c:spPr>
            <a:ln w="15875">
              <a:solidFill>
                <a:srgbClr val="FFC000"/>
              </a:solidFill>
            </a:ln>
          </c:spPr>
          <c:marker>
            <c:symbol val="none"/>
          </c:marker>
          <c:xVal>
            <c:numRef>
              <c:f>'Registro Original'!$AE$129:$CM$129</c:f>
              <c:numCache>
                <c:formatCode>0.0</c:formatCode>
                <c:ptCount val="61"/>
                <c:pt idx="0">
                  <c:v>447.4</c:v>
                </c:pt>
                <c:pt idx="1">
                  <c:v>447.59999999999997</c:v>
                </c:pt>
                <c:pt idx="2">
                  <c:v>447.79999999999995</c:v>
                </c:pt>
                <c:pt idx="3">
                  <c:v>447.99999999999994</c:v>
                </c:pt>
                <c:pt idx="4">
                  <c:v>448.19999999999993</c:v>
                </c:pt>
                <c:pt idx="5">
                  <c:v>448.39999999999992</c:v>
                </c:pt>
                <c:pt idx="6">
                  <c:v>448.59999999999991</c:v>
                </c:pt>
                <c:pt idx="7">
                  <c:v>448.7999999999999</c:v>
                </c:pt>
                <c:pt idx="8">
                  <c:v>448.99999999999989</c:v>
                </c:pt>
                <c:pt idx="9">
                  <c:v>449.19999999999987</c:v>
                </c:pt>
                <c:pt idx="10">
                  <c:v>449.39999999999986</c:v>
                </c:pt>
                <c:pt idx="11">
                  <c:v>449.59999999999985</c:v>
                </c:pt>
                <c:pt idx="12">
                  <c:v>449.79999999999984</c:v>
                </c:pt>
                <c:pt idx="13">
                  <c:v>449.99999999999983</c:v>
                </c:pt>
                <c:pt idx="14">
                  <c:v>450.19999999999982</c:v>
                </c:pt>
                <c:pt idx="15">
                  <c:v>450.39999999999981</c:v>
                </c:pt>
                <c:pt idx="16">
                  <c:v>450.5999999999998</c:v>
                </c:pt>
                <c:pt idx="17">
                  <c:v>450.79999999999978</c:v>
                </c:pt>
                <c:pt idx="18">
                  <c:v>450.99999999999977</c:v>
                </c:pt>
                <c:pt idx="19">
                  <c:v>451.19999999999976</c:v>
                </c:pt>
                <c:pt idx="20">
                  <c:v>451.39999999999975</c:v>
                </c:pt>
                <c:pt idx="21">
                  <c:v>451.59999999999974</c:v>
                </c:pt>
                <c:pt idx="22">
                  <c:v>451.79999999999973</c:v>
                </c:pt>
                <c:pt idx="23">
                  <c:v>451.99999999999972</c:v>
                </c:pt>
                <c:pt idx="24">
                  <c:v>452.1999999999997</c:v>
                </c:pt>
                <c:pt idx="25">
                  <c:v>452.39999999999969</c:v>
                </c:pt>
                <c:pt idx="26">
                  <c:v>452.59999999999968</c:v>
                </c:pt>
                <c:pt idx="27">
                  <c:v>452.79999999999967</c:v>
                </c:pt>
                <c:pt idx="28">
                  <c:v>452.99999999999966</c:v>
                </c:pt>
                <c:pt idx="29">
                  <c:v>453.19999999999965</c:v>
                </c:pt>
                <c:pt idx="30">
                  <c:v>453.39999999999964</c:v>
                </c:pt>
                <c:pt idx="31">
                  <c:v>453.59999999999962</c:v>
                </c:pt>
                <c:pt idx="32">
                  <c:v>453.79999999999961</c:v>
                </c:pt>
                <c:pt idx="33">
                  <c:v>453.9999999999996</c:v>
                </c:pt>
                <c:pt idx="34">
                  <c:v>454.19999999999959</c:v>
                </c:pt>
                <c:pt idx="35">
                  <c:v>454.39999999999958</c:v>
                </c:pt>
                <c:pt idx="36">
                  <c:v>454.59999999999957</c:v>
                </c:pt>
                <c:pt idx="37">
                  <c:v>454.79999999999956</c:v>
                </c:pt>
                <c:pt idx="38">
                  <c:v>454.99999999999955</c:v>
                </c:pt>
                <c:pt idx="39">
                  <c:v>455.19999999999953</c:v>
                </c:pt>
                <c:pt idx="40">
                  <c:v>455.39999999999952</c:v>
                </c:pt>
                <c:pt idx="41">
                  <c:v>455.59999999999951</c:v>
                </c:pt>
                <c:pt idx="42">
                  <c:v>455.7999999999995</c:v>
                </c:pt>
                <c:pt idx="43">
                  <c:v>455.99999999999949</c:v>
                </c:pt>
                <c:pt idx="44">
                  <c:v>456.19999999999948</c:v>
                </c:pt>
                <c:pt idx="45">
                  <c:v>456.39999999999947</c:v>
                </c:pt>
                <c:pt idx="46">
                  <c:v>456.59999999999945</c:v>
                </c:pt>
                <c:pt idx="47">
                  <c:v>456.79999999999944</c:v>
                </c:pt>
                <c:pt idx="48">
                  <c:v>456.99999999999943</c:v>
                </c:pt>
                <c:pt idx="49">
                  <c:v>457.19999999999942</c:v>
                </c:pt>
                <c:pt idx="50">
                  <c:v>457.39999999999941</c:v>
                </c:pt>
                <c:pt idx="51">
                  <c:v>457.5999999999994</c:v>
                </c:pt>
                <c:pt idx="52">
                  <c:v>457.79999999999939</c:v>
                </c:pt>
                <c:pt idx="53">
                  <c:v>457.99999999999937</c:v>
                </c:pt>
                <c:pt idx="54">
                  <c:v>458.19999999999936</c:v>
                </c:pt>
                <c:pt idx="55">
                  <c:v>458.39999999999935</c:v>
                </c:pt>
                <c:pt idx="56">
                  <c:v>458.59999999999934</c:v>
                </c:pt>
                <c:pt idx="57">
                  <c:v>458.79999999999933</c:v>
                </c:pt>
                <c:pt idx="58">
                  <c:v>458.99999999999932</c:v>
                </c:pt>
                <c:pt idx="59">
                  <c:v>459.19999999999931</c:v>
                </c:pt>
                <c:pt idx="60">
                  <c:v>459.3999999999993</c:v>
                </c:pt>
              </c:numCache>
            </c:numRef>
          </c:xVal>
          <c:yVal>
            <c:numRef>
              <c:f>'Registro Original'!$AE$130:$CM$130</c:f>
              <c:numCache>
                <c:formatCode>0.0000</c:formatCode>
                <c:ptCount val="61"/>
                <c:pt idx="0">
                  <c:v>0.98035000000000005</c:v>
                </c:pt>
                <c:pt idx="1">
                  <c:v>0.98035000000000005</c:v>
                </c:pt>
                <c:pt idx="2">
                  <c:v>0.98035000000000005</c:v>
                </c:pt>
                <c:pt idx="3">
                  <c:v>0.98035000000000005</c:v>
                </c:pt>
                <c:pt idx="4">
                  <c:v>0.98035000000000005</c:v>
                </c:pt>
                <c:pt idx="5">
                  <c:v>0.98035000000000005</c:v>
                </c:pt>
                <c:pt idx="6">
                  <c:v>0.98035000000000005</c:v>
                </c:pt>
                <c:pt idx="7">
                  <c:v>0.98035000000000005</c:v>
                </c:pt>
                <c:pt idx="8">
                  <c:v>0.98035000000000005</c:v>
                </c:pt>
                <c:pt idx="9">
                  <c:v>0.98035000000000005</c:v>
                </c:pt>
                <c:pt idx="10">
                  <c:v>0.98035000000000005</c:v>
                </c:pt>
                <c:pt idx="11">
                  <c:v>0.98035000000000005</c:v>
                </c:pt>
                <c:pt idx="12">
                  <c:v>0.98035000000000005</c:v>
                </c:pt>
                <c:pt idx="13">
                  <c:v>0.98035000000000005</c:v>
                </c:pt>
                <c:pt idx="14">
                  <c:v>0.98035000000000005</c:v>
                </c:pt>
                <c:pt idx="15">
                  <c:v>0.98035000000000005</c:v>
                </c:pt>
                <c:pt idx="16">
                  <c:v>0.98035000000000005</c:v>
                </c:pt>
                <c:pt idx="17">
                  <c:v>0.98035000000000005</c:v>
                </c:pt>
                <c:pt idx="18">
                  <c:v>0.98035000000000005</c:v>
                </c:pt>
                <c:pt idx="19">
                  <c:v>0.98035000000000005</c:v>
                </c:pt>
                <c:pt idx="20">
                  <c:v>0.98035000000000005</c:v>
                </c:pt>
                <c:pt idx="21">
                  <c:v>0.98035000000000005</c:v>
                </c:pt>
                <c:pt idx="22">
                  <c:v>0.98035000000000005</c:v>
                </c:pt>
                <c:pt idx="23">
                  <c:v>0.98035000000000005</c:v>
                </c:pt>
                <c:pt idx="24">
                  <c:v>0.98035000000000005</c:v>
                </c:pt>
                <c:pt idx="25">
                  <c:v>0.98035000000000005</c:v>
                </c:pt>
                <c:pt idx="26">
                  <c:v>0.98035000000000005</c:v>
                </c:pt>
                <c:pt idx="27">
                  <c:v>0.98035000000000005</c:v>
                </c:pt>
                <c:pt idx="28">
                  <c:v>0.98035000000000005</c:v>
                </c:pt>
                <c:pt idx="29">
                  <c:v>0.98035000000000005</c:v>
                </c:pt>
                <c:pt idx="30">
                  <c:v>0.98035000000000005</c:v>
                </c:pt>
                <c:pt idx="31">
                  <c:v>0.98035000000000005</c:v>
                </c:pt>
                <c:pt idx="32">
                  <c:v>0.98035000000000005</c:v>
                </c:pt>
                <c:pt idx="33">
                  <c:v>0.98035000000000005</c:v>
                </c:pt>
                <c:pt idx="34">
                  <c:v>0.98035000000000005</c:v>
                </c:pt>
                <c:pt idx="35">
                  <c:v>0.98035000000000005</c:v>
                </c:pt>
                <c:pt idx="36">
                  <c:v>0.98035000000000005</c:v>
                </c:pt>
                <c:pt idx="37">
                  <c:v>0.98035000000000005</c:v>
                </c:pt>
                <c:pt idx="38">
                  <c:v>0.98035000000000005</c:v>
                </c:pt>
                <c:pt idx="39">
                  <c:v>0.98035000000000005</c:v>
                </c:pt>
                <c:pt idx="40">
                  <c:v>0.98035000000000005</c:v>
                </c:pt>
                <c:pt idx="41">
                  <c:v>0.98035000000000005</c:v>
                </c:pt>
                <c:pt idx="42">
                  <c:v>0.98035000000000005</c:v>
                </c:pt>
                <c:pt idx="43">
                  <c:v>0.98035000000000005</c:v>
                </c:pt>
                <c:pt idx="44">
                  <c:v>0.98035000000000005</c:v>
                </c:pt>
                <c:pt idx="45">
                  <c:v>0.98035000000000005</c:v>
                </c:pt>
                <c:pt idx="46">
                  <c:v>0.98035000000000005</c:v>
                </c:pt>
                <c:pt idx="47">
                  <c:v>0.98035000000000005</c:v>
                </c:pt>
                <c:pt idx="48">
                  <c:v>0.98035000000000005</c:v>
                </c:pt>
                <c:pt idx="49">
                  <c:v>0.98035000000000005</c:v>
                </c:pt>
                <c:pt idx="50">
                  <c:v>0.98035000000000005</c:v>
                </c:pt>
                <c:pt idx="51">
                  <c:v>0.98035000000000005</c:v>
                </c:pt>
                <c:pt idx="52">
                  <c:v>0.98035000000000005</c:v>
                </c:pt>
                <c:pt idx="53">
                  <c:v>0.98035000000000005</c:v>
                </c:pt>
                <c:pt idx="54">
                  <c:v>0.98035000000000005</c:v>
                </c:pt>
                <c:pt idx="55">
                  <c:v>0.98035000000000005</c:v>
                </c:pt>
                <c:pt idx="56">
                  <c:v>0.98035000000000005</c:v>
                </c:pt>
                <c:pt idx="57">
                  <c:v>0.98035000000000005</c:v>
                </c:pt>
                <c:pt idx="58">
                  <c:v>0.98035000000000005</c:v>
                </c:pt>
                <c:pt idx="59">
                  <c:v>0.98035000000000005</c:v>
                </c:pt>
                <c:pt idx="60">
                  <c:v>0.98035000000000005</c:v>
                </c:pt>
              </c:numCache>
            </c:numRef>
          </c:yVal>
          <c:smooth val="1"/>
          <c:extLst>
            <c:ext xmlns:c16="http://schemas.microsoft.com/office/drawing/2014/chart" uri="{C3380CC4-5D6E-409C-BE32-E72D297353CC}">
              <c16:uniqueId val="{00000002-E0CD-4DBB-9726-F0087EF7CA89}"/>
            </c:ext>
          </c:extLst>
        </c:ser>
        <c:ser>
          <c:idx val="3"/>
          <c:order val="3"/>
          <c:tx>
            <c:v>Pico 8 - CAL2</c:v>
          </c:tx>
          <c:spPr>
            <a:ln>
              <a:solidFill>
                <a:srgbClr val="00B050"/>
              </a:solidFill>
            </a:ln>
          </c:spPr>
          <c:marker>
            <c:symbol val="none"/>
          </c:marker>
          <c:xVal>
            <c:numRef>
              <c:f>'Registro Original'!$E$127:$E$151</c:f>
              <c:numCache>
                <c:formatCode>0.0</c:formatCode>
                <c:ptCount val="25"/>
                <c:pt idx="0">
                  <c:v>459</c:v>
                </c:pt>
                <c:pt idx="1">
                  <c:v>458.5</c:v>
                </c:pt>
                <c:pt idx="2">
                  <c:v>458</c:v>
                </c:pt>
                <c:pt idx="3">
                  <c:v>457.5</c:v>
                </c:pt>
                <c:pt idx="4">
                  <c:v>457</c:v>
                </c:pt>
                <c:pt idx="5">
                  <c:v>456.5</c:v>
                </c:pt>
                <c:pt idx="6">
                  <c:v>456</c:v>
                </c:pt>
                <c:pt idx="7">
                  <c:v>455.5</c:v>
                </c:pt>
                <c:pt idx="8">
                  <c:v>455</c:v>
                </c:pt>
                <c:pt idx="9">
                  <c:v>454.5</c:v>
                </c:pt>
                <c:pt idx="10">
                  <c:v>454</c:v>
                </c:pt>
                <c:pt idx="11">
                  <c:v>453.5</c:v>
                </c:pt>
                <c:pt idx="12">
                  <c:v>453</c:v>
                </c:pt>
                <c:pt idx="13">
                  <c:v>452.5</c:v>
                </c:pt>
                <c:pt idx="14">
                  <c:v>452</c:v>
                </c:pt>
                <c:pt idx="15">
                  <c:v>451.5</c:v>
                </c:pt>
                <c:pt idx="16">
                  <c:v>451</c:v>
                </c:pt>
                <c:pt idx="17">
                  <c:v>450.5</c:v>
                </c:pt>
                <c:pt idx="18">
                  <c:v>450</c:v>
                </c:pt>
                <c:pt idx="19">
                  <c:v>449.5</c:v>
                </c:pt>
                <c:pt idx="20">
                  <c:v>449</c:v>
                </c:pt>
                <c:pt idx="21">
                  <c:v>448.5</c:v>
                </c:pt>
                <c:pt idx="22">
                  <c:v>448</c:v>
                </c:pt>
                <c:pt idx="23">
                  <c:v>447.5</c:v>
                </c:pt>
                <c:pt idx="24">
                  <c:v>447</c:v>
                </c:pt>
              </c:numCache>
            </c:numRef>
          </c:xVal>
          <c:yVal>
            <c:numRef>
              <c:f>'Registro Original'!$F$127:$F$151</c:f>
              <c:numCache>
                <c:formatCode>General</c:formatCode>
                <c:ptCount val="25"/>
                <c:pt idx="5">
                  <c:v>0.68200000000000005</c:v>
                </c:pt>
                <c:pt idx="6">
                  <c:v>0.63</c:v>
                </c:pt>
                <c:pt idx="7">
                  <c:v>0.58699999999999997</c:v>
                </c:pt>
                <c:pt idx="8">
                  <c:v>0.58799999999999997</c:v>
                </c:pt>
                <c:pt idx="9">
                  <c:v>0.625</c:v>
                </c:pt>
                <c:pt idx="10">
                  <c:v>0.67100000000000004</c:v>
                </c:pt>
                <c:pt idx="11">
                  <c:v>0.69</c:v>
                </c:pt>
                <c:pt idx="12">
                  <c:v>0.67500000000000004</c:v>
                </c:pt>
                <c:pt idx="13">
                  <c:v>0.66400000000000003</c:v>
                </c:pt>
                <c:pt idx="14">
                  <c:v>0.69499999999999995</c:v>
                </c:pt>
                <c:pt idx="15">
                  <c:v>0.77200000000000002</c:v>
                </c:pt>
                <c:pt idx="16">
                  <c:v>0.89400000000000002</c:v>
                </c:pt>
                <c:pt idx="17">
                  <c:v>1.0780000000000001</c:v>
                </c:pt>
                <c:pt idx="18">
                  <c:v>1.115</c:v>
                </c:pt>
                <c:pt idx="19">
                  <c:v>0.94199999999999995</c:v>
                </c:pt>
              </c:numCache>
            </c:numRef>
          </c:yVal>
          <c:smooth val="1"/>
          <c:extLst>
            <c:ext xmlns:c16="http://schemas.microsoft.com/office/drawing/2014/chart" uri="{C3380CC4-5D6E-409C-BE32-E72D297353CC}">
              <c16:uniqueId val="{00000001-F3F5-4798-B373-9EBEF124A516}"/>
            </c:ext>
          </c:extLst>
        </c:ser>
        <c:dLbls>
          <c:showLegendKey val="0"/>
          <c:showVal val="0"/>
          <c:showCatName val="0"/>
          <c:showSerName val="0"/>
          <c:showPercent val="0"/>
          <c:showBubbleSize val="0"/>
        </c:dLbls>
        <c:axId val="77690752"/>
        <c:axId val="77709312"/>
      </c:scatterChart>
      <c:valAx>
        <c:axId val="77690752"/>
        <c:scaling>
          <c:orientation val="minMax"/>
          <c:max val="459.4"/>
          <c:min val="447.4"/>
        </c:scaling>
        <c:delete val="0"/>
        <c:axPos val="t"/>
        <c:title>
          <c:tx>
            <c:rich>
              <a:bodyPr/>
              <a:lstStyle/>
              <a:p>
                <a:pPr>
                  <a:defRPr sz="1000" b="1" i="0" u="none" strike="noStrike" baseline="0">
                    <a:solidFill>
                      <a:srgbClr val="000000"/>
                    </a:solidFill>
                    <a:latin typeface="Arial"/>
                    <a:ea typeface="Arial"/>
                    <a:cs typeface="Arial"/>
                  </a:defRPr>
                </a:pPr>
                <a:r>
                  <a:rPr lang="pt-BR"/>
                  <a:t>Comprimento</a:t>
                </a:r>
                <a:r>
                  <a:rPr lang="pt-BR" baseline="0"/>
                  <a:t> de Onda</a:t>
                </a:r>
                <a:r>
                  <a:rPr lang="pt-BR"/>
                  <a:t> [nm]</a:t>
                </a:r>
              </a:p>
            </c:rich>
          </c:tx>
          <c:layout>
            <c:manualLayout>
              <c:xMode val="edge"/>
              <c:yMode val="edge"/>
              <c:x val="0.43979123678722543"/>
              <c:y val="0.89920440944881885"/>
            </c:manualLayout>
          </c:layout>
          <c:overlay val="0"/>
          <c:spPr>
            <a:noFill/>
            <a:ln w="25400">
              <a:noFill/>
            </a:ln>
          </c:spPr>
        </c:title>
        <c:numFmt formatCode="0.0" sourceLinked="0"/>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pt-BR"/>
          </a:p>
        </c:txPr>
        <c:crossAx val="77709312"/>
        <c:crosses val="max"/>
        <c:crossBetween val="midCat"/>
        <c:majorUnit val="1"/>
        <c:minorUnit val="0.2"/>
      </c:valAx>
      <c:valAx>
        <c:axId val="77709312"/>
        <c:scaling>
          <c:orientation val="minMax"/>
          <c:max val="1.1500000000000001"/>
          <c:min val="0.55000000000000004"/>
        </c:scaling>
        <c:delete val="0"/>
        <c:axPos val="l"/>
        <c:majorGridlines>
          <c:spPr>
            <a:ln w="3175">
              <a:solidFill>
                <a:schemeClr val="bg1">
                  <a:lumMod val="65000"/>
                </a:schemeClr>
              </a:solidFill>
              <a:prstDash val="solid"/>
            </a:ln>
          </c:spPr>
        </c:majorGridlines>
        <c:title>
          <c:tx>
            <c:rich>
              <a:bodyPr/>
              <a:lstStyle/>
              <a:p>
                <a:pPr>
                  <a:defRPr sz="1000" b="1" i="0" u="none" strike="noStrike" baseline="0">
                    <a:solidFill>
                      <a:srgbClr val="000000"/>
                    </a:solidFill>
                    <a:latin typeface="Arial"/>
                    <a:ea typeface="Arial"/>
                    <a:cs typeface="Arial"/>
                  </a:defRPr>
                </a:pPr>
                <a:r>
                  <a:rPr lang="pt-BR"/>
                  <a:t>Absorbância </a:t>
                </a:r>
              </a:p>
            </c:rich>
          </c:tx>
          <c:layout>
            <c:manualLayout>
              <c:xMode val="edge"/>
              <c:yMode val="edge"/>
              <c:x val="1.7353098158327692E-2"/>
              <c:y val="0.3355424671916013"/>
            </c:manualLayout>
          </c:layout>
          <c:overlay val="0"/>
          <c:spPr>
            <a:noFill/>
            <a:ln w="25400">
              <a:noFill/>
            </a:ln>
          </c:spPr>
        </c:title>
        <c:numFmt formatCode="0.00" sourceLinked="0"/>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pt-BR"/>
          </a:p>
        </c:txPr>
        <c:crossAx val="77690752"/>
        <c:crosses val="autoZero"/>
        <c:crossBetween val="midCat"/>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pt-BR"/>
    </a:p>
  </c:txPr>
  <c:printSettings>
    <c:headerFooter alignWithMargins="0"/>
    <c:pageMargins b="0.98425196899999978" l="0.78740157499999996" r="0.78740157499999996" t="0.98425196899999978"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BR" sz="1100" b="1"/>
              <a:t>Pico 7  -  418,5 nm</a:t>
            </a:r>
          </a:p>
        </c:rich>
      </c:tx>
      <c:layout>
        <c:manualLayout>
          <c:xMode val="edge"/>
          <c:yMode val="edge"/>
          <c:x val="0.57254488519470215"/>
          <c:y val="0.15273645575179606"/>
        </c:manualLayout>
      </c:layout>
      <c:overlay val="0"/>
    </c:title>
    <c:autoTitleDeleted val="0"/>
    <c:plotArea>
      <c:layout>
        <c:manualLayout>
          <c:layoutTarget val="inner"/>
          <c:xMode val="edge"/>
          <c:yMode val="edge"/>
          <c:x val="7.7751327595678474E-2"/>
          <c:y val="6.1360000623067519E-2"/>
          <c:w val="0.81675531869566498"/>
          <c:h val="0.74801061007957614"/>
        </c:manualLayout>
      </c:layout>
      <c:scatterChart>
        <c:scatterStyle val="smoothMarker"/>
        <c:varyColors val="0"/>
        <c:ser>
          <c:idx val="0"/>
          <c:order val="0"/>
          <c:tx>
            <c:v>Pico 7</c:v>
          </c:tx>
          <c:spPr>
            <a:ln w="12700">
              <a:solidFill>
                <a:srgbClr val="000080"/>
              </a:solidFill>
              <a:prstDash val="solid"/>
            </a:ln>
          </c:spPr>
          <c:marker>
            <c:symbol val="none"/>
          </c:marker>
          <c:xVal>
            <c:numRef>
              <c:f>'Registro Original'!$AA$2560:$AA$2680</c:f>
              <c:numCache>
                <c:formatCode>0.0</c:formatCode>
                <c:ptCount val="121"/>
                <c:pt idx="0">
                  <c:v>424.5</c:v>
                </c:pt>
                <c:pt idx="1">
                  <c:v>424.4</c:v>
                </c:pt>
                <c:pt idx="2">
                  <c:v>424.3</c:v>
                </c:pt>
                <c:pt idx="3">
                  <c:v>424.2</c:v>
                </c:pt>
                <c:pt idx="4">
                  <c:v>424.1</c:v>
                </c:pt>
                <c:pt idx="5">
                  <c:v>424</c:v>
                </c:pt>
                <c:pt idx="6">
                  <c:v>423.9</c:v>
                </c:pt>
                <c:pt idx="7">
                  <c:v>423.8</c:v>
                </c:pt>
                <c:pt idx="8">
                  <c:v>423.7</c:v>
                </c:pt>
                <c:pt idx="9">
                  <c:v>423.6</c:v>
                </c:pt>
                <c:pt idx="10">
                  <c:v>423.5</c:v>
                </c:pt>
                <c:pt idx="11">
                  <c:v>423.4</c:v>
                </c:pt>
                <c:pt idx="12">
                  <c:v>423.3</c:v>
                </c:pt>
                <c:pt idx="13">
                  <c:v>423.2</c:v>
                </c:pt>
                <c:pt idx="14">
                  <c:v>423.1</c:v>
                </c:pt>
                <c:pt idx="15">
                  <c:v>423</c:v>
                </c:pt>
                <c:pt idx="16">
                  <c:v>422.9</c:v>
                </c:pt>
                <c:pt idx="17">
                  <c:v>422.8</c:v>
                </c:pt>
                <c:pt idx="18">
                  <c:v>422.7</c:v>
                </c:pt>
                <c:pt idx="19">
                  <c:v>422.6</c:v>
                </c:pt>
                <c:pt idx="20">
                  <c:v>422.5</c:v>
                </c:pt>
                <c:pt idx="21">
                  <c:v>422.4</c:v>
                </c:pt>
                <c:pt idx="22">
                  <c:v>422.3</c:v>
                </c:pt>
                <c:pt idx="23">
                  <c:v>422.2</c:v>
                </c:pt>
                <c:pt idx="24">
                  <c:v>422.1</c:v>
                </c:pt>
                <c:pt idx="25">
                  <c:v>422</c:v>
                </c:pt>
                <c:pt idx="26">
                  <c:v>421.9</c:v>
                </c:pt>
                <c:pt idx="27">
                  <c:v>421.8</c:v>
                </c:pt>
                <c:pt idx="28">
                  <c:v>421.7</c:v>
                </c:pt>
                <c:pt idx="29">
                  <c:v>421.6</c:v>
                </c:pt>
                <c:pt idx="30">
                  <c:v>421.5</c:v>
                </c:pt>
                <c:pt idx="31">
                  <c:v>421.4</c:v>
                </c:pt>
                <c:pt idx="32">
                  <c:v>421.3</c:v>
                </c:pt>
                <c:pt idx="33">
                  <c:v>421.2</c:v>
                </c:pt>
                <c:pt idx="34">
                  <c:v>421.1</c:v>
                </c:pt>
                <c:pt idx="35">
                  <c:v>421</c:v>
                </c:pt>
                <c:pt idx="36">
                  <c:v>420.9</c:v>
                </c:pt>
                <c:pt idx="37">
                  <c:v>420.8</c:v>
                </c:pt>
                <c:pt idx="38">
                  <c:v>420.7</c:v>
                </c:pt>
                <c:pt idx="39">
                  <c:v>420.6</c:v>
                </c:pt>
                <c:pt idx="40">
                  <c:v>420.5</c:v>
                </c:pt>
                <c:pt idx="41">
                  <c:v>420.4</c:v>
                </c:pt>
                <c:pt idx="42">
                  <c:v>420.3</c:v>
                </c:pt>
                <c:pt idx="43">
                  <c:v>420.2</c:v>
                </c:pt>
                <c:pt idx="44">
                  <c:v>420.1</c:v>
                </c:pt>
                <c:pt idx="45">
                  <c:v>420</c:v>
                </c:pt>
                <c:pt idx="46">
                  <c:v>419.9</c:v>
                </c:pt>
                <c:pt idx="47">
                  <c:v>419.8</c:v>
                </c:pt>
                <c:pt idx="48">
                  <c:v>419.7</c:v>
                </c:pt>
                <c:pt idx="49">
                  <c:v>419.6</c:v>
                </c:pt>
                <c:pt idx="50">
                  <c:v>419.5</c:v>
                </c:pt>
                <c:pt idx="51">
                  <c:v>419.4</c:v>
                </c:pt>
                <c:pt idx="52">
                  <c:v>419.3</c:v>
                </c:pt>
                <c:pt idx="53">
                  <c:v>419.2</c:v>
                </c:pt>
                <c:pt idx="54">
                  <c:v>419.1</c:v>
                </c:pt>
                <c:pt idx="55">
                  <c:v>419</c:v>
                </c:pt>
                <c:pt idx="56">
                  <c:v>418.9</c:v>
                </c:pt>
                <c:pt idx="57">
                  <c:v>418.8</c:v>
                </c:pt>
                <c:pt idx="58">
                  <c:v>418.7</c:v>
                </c:pt>
                <c:pt idx="59">
                  <c:v>418.6</c:v>
                </c:pt>
                <c:pt idx="60">
                  <c:v>418.5</c:v>
                </c:pt>
                <c:pt idx="61">
                  <c:v>418.4</c:v>
                </c:pt>
                <c:pt idx="62">
                  <c:v>418.3</c:v>
                </c:pt>
                <c:pt idx="63">
                  <c:v>418.2</c:v>
                </c:pt>
                <c:pt idx="64">
                  <c:v>418.1</c:v>
                </c:pt>
                <c:pt idx="65">
                  <c:v>418</c:v>
                </c:pt>
                <c:pt idx="66">
                  <c:v>417.9</c:v>
                </c:pt>
                <c:pt idx="67">
                  <c:v>417.8</c:v>
                </c:pt>
                <c:pt idx="68">
                  <c:v>417.7</c:v>
                </c:pt>
                <c:pt idx="69">
                  <c:v>417.6</c:v>
                </c:pt>
                <c:pt idx="70">
                  <c:v>417.5</c:v>
                </c:pt>
                <c:pt idx="71">
                  <c:v>417.4</c:v>
                </c:pt>
                <c:pt idx="72">
                  <c:v>417.3</c:v>
                </c:pt>
                <c:pt idx="73">
                  <c:v>417.2</c:v>
                </c:pt>
                <c:pt idx="74">
                  <c:v>417.1</c:v>
                </c:pt>
                <c:pt idx="75">
                  <c:v>417</c:v>
                </c:pt>
                <c:pt idx="76">
                  <c:v>416.9</c:v>
                </c:pt>
                <c:pt idx="77">
                  <c:v>416.8</c:v>
                </c:pt>
                <c:pt idx="78">
                  <c:v>416.7</c:v>
                </c:pt>
                <c:pt idx="79">
                  <c:v>416.6</c:v>
                </c:pt>
                <c:pt idx="80">
                  <c:v>416.5</c:v>
                </c:pt>
                <c:pt idx="81">
                  <c:v>416.4</c:v>
                </c:pt>
                <c:pt idx="82">
                  <c:v>416.3</c:v>
                </c:pt>
                <c:pt idx="83">
                  <c:v>416.2</c:v>
                </c:pt>
                <c:pt idx="84">
                  <c:v>416.1</c:v>
                </c:pt>
                <c:pt idx="85">
                  <c:v>416</c:v>
                </c:pt>
                <c:pt idx="86">
                  <c:v>415.9</c:v>
                </c:pt>
                <c:pt idx="87">
                  <c:v>415.8</c:v>
                </c:pt>
                <c:pt idx="88">
                  <c:v>415.7</c:v>
                </c:pt>
                <c:pt idx="89">
                  <c:v>415.6</c:v>
                </c:pt>
                <c:pt idx="90">
                  <c:v>415.5</c:v>
                </c:pt>
                <c:pt idx="91">
                  <c:v>415.4</c:v>
                </c:pt>
                <c:pt idx="92">
                  <c:v>415.3</c:v>
                </c:pt>
                <c:pt idx="93">
                  <c:v>415.2</c:v>
                </c:pt>
                <c:pt idx="94">
                  <c:v>415.1</c:v>
                </c:pt>
                <c:pt idx="95">
                  <c:v>415</c:v>
                </c:pt>
                <c:pt idx="96">
                  <c:v>414.9</c:v>
                </c:pt>
                <c:pt idx="97">
                  <c:v>414.8</c:v>
                </c:pt>
                <c:pt idx="98">
                  <c:v>414.7</c:v>
                </c:pt>
                <c:pt idx="99">
                  <c:v>414.6</c:v>
                </c:pt>
                <c:pt idx="100">
                  <c:v>414.5</c:v>
                </c:pt>
                <c:pt idx="101">
                  <c:v>414.4</c:v>
                </c:pt>
                <c:pt idx="102">
                  <c:v>414.3</c:v>
                </c:pt>
                <c:pt idx="103">
                  <c:v>414.2</c:v>
                </c:pt>
                <c:pt idx="104">
                  <c:v>414.1</c:v>
                </c:pt>
                <c:pt idx="105">
                  <c:v>414</c:v>
                </c:pt>
                <c:pt idx="106">
                  <c:v>413.9</c:v>
                </c:pt>
                <c:pt idx="107">
                  <c:v>413.8</c:v>
                </c:pt>
                <c:pt idx="108">
                  <c:v>413.7</c:v>
                </c:pt>
                <c:pt idx="109">
                  <c:v>413.6</c:v>
                </c:pt>
                <c:pt idx="110">
                  <c:v>413.5</c:v>
                </c:pt>
                <c:pt idx="111">
                  <c:v>413.4</c:v>
                </c:pt>
                <c:pt idx="112">
                  <c:v>413.3</c:v>
                </c:pt>
                <c:pt idx="113">
                  <c:v>413.2</c:v>
                </c:pt>
                <c:pt idx="114">
                  <c:v>413.1</c:v>
                </c:pt>
                <c:pt idx="115">
                  <c:v>413</c:v>
                </c:pt>
                <c:pt idx="116">
                  <c:v>412.9</c:v>
                </c:pt>
                <c:pt idx="117">
                  <c:v>412.8</c:v>
                </c:pt>
                <c:pt idx="118">
                  <c:v>412.7</c:v>
                </c:pt>
                <c:pt idx="119">
                  <c:v>412.6</c:v>
                </c:pt>
                <c:pt idx="120">
                  <c:v>412.5</c:v>
                </c:pt>
              </c:numCache>
            </c:numRef>
          </c:xVal>
          <c:yVal>
            <c:numRef>
              <c:f>'Registro Original'!$AC$2560:$AC$2680</c:f>
              <c:numCache>
                <c:formatCode>0.0000</c:formatCode>
                <c:ptCount val="121"/>
                <c:pt idx="0">
                  <c:v>0.12763391751912445</c:v>
                </c:pt>
                <c:pt idx="1">
                  <c:v>0.12666195698936566</c:v>
                </c:pt>
                <c:pt idx="2">
                  <c:v>0.12522836281570171</c:v>
                </c:pt>
                <c:pt idx="3">
                  <c:v>0.12380526079307576</c:v>
                </c:pt>
                <c:pt idx="4">
                  <c:v>0.12245589228405593</c:v>
                </c:pt>
                <c:pt idx="5">
                  <c:v>0.12117384546481803</c:v>
                </c:pt>
                <c:pt idx="6">
                  <c:v>0.11940932656241313</c:v>
                </c:pt>
                <c:pt idx="7">
                  <c:v>0.11712270550638179</c:v>
                </c:pt>
                <c:pt idx="8">
                  <c:v>0.11504612201670604</c:v>
                </c:pt>
                <c:pt idx="9">
                  <c:v>0.11295125485823058</c:v>
                </c:pt>
                <c:pt idx="10">
                  <c:v>0.11136004977968698</c:v>
                </c:pt>
                <c:pt idx="11">
                  <c:v>0.10958457061062521</c:v>
                </c:pt>
                <c:pt idx="12">
                  <c:v>0.10765491504828216</c:v>
                </c:pt>
                <c:pt idx="13">
                  <c:v>0.10608850703834856</c:v>
                </c:pt>
                <c:pt idx="14">
                  <c:v>0.10477088515860558</c:v>
                </c:pt>
                <c:pt idx="15">
                  <c:v>0.10381010513176463</c:v>
                </c:pt>
                <c:pt idx="16">
                  <c:v>0.1031156923455632</c:v>
                </c:pt>
                <c:pt idx="17">
                  <c:v>0.10283493586222948</c:v>
                </c:pt>
                <c:pt idx="18">
                  <c:v>0.1030441097298208</c:v>
                </c:pt>
                <c:pt idx="19">
                  <c:v>0.10351236368315313</c:v>
                </c:pt>
                <c:pt idx="20">
                  <c:v>0.10372737869632628</c:v>
                </c:pt>
                <c:pt idx="21">
                  <c:v>0.1046492897775186</c:v>
                </c:pt>
                <c:pt idx="22">
                  <c:v>0.10578365923145244</c:v>
                </c:pt>
                <c:pt idx="23">
                  <c:v>0.10750469500654035</c:v>
                </c:pt>
                <c:pt idx="24">
                  <c:v>0.1099144732836748</c:v>
                </c:pt>
                <c:pt idx="25">
                  <c:v>0.11265844041525531</c:v>
                </c:pt>
                <c:pt idx="26">
                  <c:v>0.1155558374406989</c:v>
                </c:pt>
                <c:pt idx="27">
                  <c:v>0.11873520450040229</c:v>
                </c:pt>
                <c:pt idx="28">
                  <c:v>0.12218537015705794</c:v>
                </c:pt>
                <c:pt idx="29">
                  <c:v>0.12596488291506519</c:v>
                </c:pt>
                <c:pt idx="30">
                  <c:v>0.1301876529844018</c:v>
                </c:pt>
                <c:pt idx="31">
                  <c:v>0.13445188574432909</c:v>
                </c:pt>
                <c:pt idx="32">
                  <c:v>0.13903347024153531</c:v>
                </c:pt>
                <c:pt idx="33">
                  <c:v>0.14365785822120614</c:v>
                </c:pt>
                <c:pt idx="34">
                  <c:v>0.14890071782347072</c:v>
                </c:pt>
                <c:pt idx="35">
                  <c:v>0.15400328044175035</c:v>
                </c:pt>
                <c:pt idx="36">
                  <c:v>0.15995666939650605</c:v>
                </c:pt>
                <c:pt idx="37">
                  <c:v>0.1660246287200938</c:v>
                </c:pt>
                <c:pt idx="38">
                  <c:v>0.17232062733863812</c:v>
                </c:pt>
                <c:pt idx="39">
                  <c:v>0.17856508404578156</c:v>
                </c:pt>
                <c:pt idx="40">
                  <c:v>0.18484745741955411</c:v>
                </c:pt>
                <c:pt idx="41">
                  <c:v>0.19137721673105668</c:v>
                </c:pt>
                <c:pt idx="42">
                  <c:v>0.1976162889212093</c:v>
                </c:pt>
                <c:pt idx="43">
                  <c:v>0.20474581741911715</c:v>
                </c:pt>
                <c:pt idx="44">
                  <c:v>0.2109130849119713</c:v>
                </c:pt>
                <c:pt idx="45">
                  <c:v>0.21744138544002564</c:v>
                </c:pt>
                <c:pt idx="46">
                  <c:v>0.22396747585407553</c:v>
                </c:pt>
                <c:pt idx="47">
                  <c:v>0.23065960529697815</c:v>
                </c:pt>
                <c:pt idx="48">
                  <c:v>0.23651210788074359</c:v>
                </c:pt>
                <c:pt idx="49">
                  <c:v>0.24227761374342383</c:v>
                </c:pt>
                <c:pt idx="50">
                  <c:v>0.2479515521805615</c:v>
                </c:pt>
                <c:pt idx="51">
                  <c:v>0.25297682254837212</c:v>
                </c:pt>
                <c:pt idx="52">
                  <c:v>0.25730628353721952</c:v>
                </c:pt>
                <c:pt idx="53">
                  <c:v>0.26073628038945984</c:v>
                </c:pt>
                <c:pt idx="54">
                  <c:v>0.26378681664812309</c:v>
                </c:pt>
                <c:pt idx="55">
                  <c:v>0.26629728879553488</c:v>
                </c:pt>
                <c:pt idx="56">
                  <c:v>0.26833872416301491</c:v>
                </c:pt>
                <c:pt idx="57">
                  <c:v>0.26982357583651906</c:v>
                </c:pt>
                <c:pt idx="58">
                  <c:v>0.27026840471296448</c:v>
                </c:pt>
                <c:pt idx="59">
                  <c:v>0.26991250516977106</c:v>
                </c:pt>
                <c:pt idx="60">
                  <c:v>0.26877396977352802</c:v>
                </c:pt>
                <c:pt idx="61">
                  <c:v>0.2672766231869485</c:v>
                </c:pt>
                <c:pt idx="62">
                  <c:v>0.2646486548312087</c:v>
                </c:pt>
                <c:pt idx="63">
                  <c:v>0.26105304667829982</c:v>
                </c:pt>
                <c:pt idx="64">
                  <c:v>0.25696084519506684</c:v>
                </c:pt>
                <c:pt idx="65">
                  <c:v>0.25195934790981828</c:v>
                </c:pt>
                <c:pt idx="66">
                  <c:v>0.24663912385664821</c:v>
                </c:pt>
                <c:pt idx="67">
                  <c:v>0.24006788257014874</c:v>
                </c:pt>
                <c:pt idx="68">
                  <c:v>0.23336411368973245</c:v>
                </c:pt>
                <c:pt idx="69">
                  <c:v>0.22668173399626199</c:v>
                </c:pt>
                <c:pt idx="70">
                  <c:v>0.21989160277667055</c:v>
                </c:pt>
                <c:pt idx="71">
                  <c:v>0.21265998274302719</c:v>
                </c:pt>
                <c:pt idx="72">
                  <c:v>0.20563047683501787</c:v>
                </c:pt>
                <c:pt idx="73">
                  <c:v>0.19840422747369771</c:v>
                </c:pt>
                <c:pt idx="74">
                  <c:v>0.19172824361049157</c:v>
                </c:pt>
                <c:pt idx="75">
                  <c:v>0.1851666351521247</c:v>
                </c:pt>
                <c:pt idx="76">
                  <c:v>0.17859129135845891</c:v>
                </c:pt>
                <c:pt idx="77">
                  <c:v>0.17273414270613557</c:v>
                </c:pt>
                <c:pt idx="78">
                  <c:v>0.16723569505946853</c:v>
                </c:pt>
                <c:pt idx="79">
                  <c:v>0.16232319687766583</c:v>
                </c:pt>
                <c:pt idx="80">
                  <c:v>0.15761545358160356</c:v>
                </c:pt>
                <c:pt idx="81">
                  <c:v>0.15313735083113128</c:v>
                </c:pt>
                <c:pt idx="82">
                  <c:v>0.14964788604172205</c:v>
                </c:pt>
                <c:pt idx="83">
                  <c:v>0.14669124636619305</c:v>
                </c:pt>
                <c:pt idx="84">
                  <c:v>0.1436639039017111</c:v>
                </c:pt>
                <c:pt idx="85">
                  <c:v>0.14154100653848692</c:v>
                </c:pt>
                <c:pt idx="86">
                  <c:v>0.13943442285177915</c:v>
                </c:pt>
                <c:pt idx="87">
                  <c:v>0.1376956532128791</c:v>
                </c:pt>
                <c:pt idx="88">
                  <c:v>0.13677233814426185</c:v>
                </c:pt>
                <c:pt idx="89">
                  <c:v>0.13561946422401142</c:v>
                </c:pt>
                <c:pt idx="90">
                  <c:v>0.13471239257808784</c:v>
                </c:pt>
                <c:pt idx="91">
                  <c:v>0.13429802330567989</c:v>
                </c:pt>
                <c:pt idx="92">
                  <c:v>0.1338840490146633</c:v>
                </c:pt>
                <c:pt idx="93">
                  <c:v>0.13348818573687538</c:v>
                </c:pt>
                <c:pt idx="94">
                  <c:v>0.13303958315506331</c:v>
                </c:pt>
                <c:pt idx="95">
                  <c:v>0.13289211774312745</c:v>
                </c:pt>
                <c:pt idx="96">
                  <c:v>0.13240878235778794</c:v>
                </c:pt>
                <c:pt idx="97">
                  <c:v>0.13220853265415727</c:v>
                </c:pt>
                <c:pt idx="98">
                  <c:v>0.13179654436288391</c:v>
                </c:pt>
                <c:pt idx="99">
                  <c:v>0.1315025061106882</c:v>
                </c:pt>
                <c:pt idx="100">
                  <c:v>0.13085045186315813</c:v>
                </c:pt>
                <c:pt idx="101">
                  <c:v>0.13031075149741031</c:v>
                </c:pt>
                <c:pt idx="102">
                  <c:v>0.13002357589080243</c:v>
                </c:pt>
                <c:pt idx="103">
                  <c:v>0.1286956629026248</c:v>
                </c:pt>
                <c:pt idx="104">
                  <c:v>0.12777377941134391</c:v>
                </c:pt>
                <c:pt idx="105">
                  <c:v>0.12665032991499409</c:v>
                </c:pt>
                <c:pt idx="106">
                  <c:v>0.12543121614560485</c:v>
                </c:pt>
                <c:pt idx="107">
                  <c:v>0.12381103633126504</c:v>
                </c:pt>
                <c:pt idx="108">
                  <c:v>0.12200703285032972</c:v>
                </c:pt>
                <c:pt idx="109">
                  <c:v>0.11999861167823091</c:v>
                </c:pt>
                <c:pt idx="110">
                  <c:v>0.1177259793336379</c:v>
                </c:pt>
                <c:pt idx="111">
                  <c:v>0.11569186264951689</c:v>
                </c:pt>
                <c:pt idx="112">
                  <c:v>0.11363901853155266</c:v>
                </c:pt>
                <c:pt idx="113">
                  <c:v>0.11113000457217603</c:v>
                </c:pt>
                <c:pt idx="114">
                  <c:v>0.10881949060408948</c:v>
                </c:pt>
                <c:pt idx="115">
                  <c:v>0.1062548778961537</c:v>
                </c:pt>
                <c:pt idx="116">
                  <c:v>0.10408045468998404</c:v>
                </c:pt>
                <c:pt idx="117">
                  <c:v>0.10127481841050648</c:v>
                </c:pt>
                <c:pt idx="118">
                  <c:v>9.868882964105917E-2</c:v>
                </c:pt>
                <c:pt idx="119">
                  <c:v>9.6665791042975888E-2</c:v>
                </c:pt>
                <c:pt idx="120">
                  <c:v>9.4171751063349879E-2</c:v>
                </c:pt>
              </c:numCache>
            </c:numRef>
          </c:yVal>
          <c:smooth val="1"/>
          <c:extLst>
            <c:ext xmlns:c16="http://schemas.microsoft.com/office/drawing/2014/chart" uri="{C3380CC4-5D6E-409C-BE32-E72D297353CC}">
              <c16:uniqueId val="{00000000-5714-45DF-BD4B-F15FCE3D4EF3}"/>
            </c:ext>
          </c:extLst>
        </c:ser>
        <c:ser>
          <c:idx val="1"/>
          <c:order val="1"/>
          <c:tx>
            <c:v>Pico 7 -  CAL1</c:v>
          </c:tx>
          <c:spPr>
            <a:ln>
              <a:solidFill>
                <a:srgbClr val="FF0000"/>
              </a:solidFill>
            </a:ln>
          </c:spPr>
          <c:marker>
            <c:symbol val="none"/>
          </c:marker>
          <c:xVal>
            <c:numRef>
              <c:f>'Registro Original'!$B$177:$B$201</c:f>
              <c:numCache>
                <c:formatCode>0.0</c:formatCode>
                <c:ptCount val="25"/>
                <c:pt idx="0">
                  <c:v>431</c:v>
                </c:pt>
                <c:pt idx="1">
                  <c:v>430</c:v>
                </c:pt>
                <c:pt idx="2">
                  <c:v>429</c:v>
                </c:pt>
                <c:pt idx="3">
                  <c:v>428</c:v>
                </c:pt>
                <c:pt idx="4">
                  <c:v>427</c:v>
                </c:pt>
                <c:pt idx="5">
                  <c:v>426</c:v>
                </c:pt>
                <c:pt idx="6">
                  <c:v>425</c:v>
                </c:pt>
                <c:pt idx="7">
                  <c:v>424</c:v>
                </c:pt>
                <c:pt idx="8">
                  <c:v>423</c:v>
                </c:pt>
                <c:pt idx="9">
                  <c:v>422</c:v>
                </c:pt>
                <c:pt idx="10">
                  <c:v>421</c:v>
                </c:pt>
                <c:pt idx="11">
                  <c:v>420</c:v>
                </c:pt>
                <c:pt idx="12">
                  <c:v>419</c:v>
                </c:pt>
                <c:pt idx="13">
                  <c:v>418</c:v>
                </c:pt>
                <c:pt idx="14">
                  <c:v>417</c:v>
                </c:pt>
                <c:pt idx="15">
                  <c:v>416</c:v>
                </c:pt>
                <c:pt idx="16">
                  <c:v>415</c:v>
                </c:pt>
                <c:pt idx="17">
                  <c:v>414</c:v>
                </c:pt>
                <c:pt idx="18">
                  <c:v>413</c:v>
                </c:pt>
                <c:pt idx="19">
                  <c:v>412</c:v>
                </c:pt>
                <c:pt idx="20">
                  <c:v>411</c:v>
                </c:pt>
                <c:pt idx="21">
                  <c:v>410</c:v>
                </c:pt>
                <c:pt idx="22">
                  <c:v>409</c:v>
                </c:pt>
                <c:pt idx="23">
                  <c:v>408</c:v>
                </c:pt>
                <c:pt idx="24">
                  <c:v>407</c:v>
                </c:pt>
              </c:numCache>
            </c:numRef>
          </c:xVal>
          <c:yVal>
            <c:numRef>
              <c:f>'Registro Original'!$C$177:$C$201</c:f>
              <c:numCache>
                <c:formatCode>0.000</c:formatCode>
                <c:ptCount val="25"/>
                <c:pt idx="5">
                  <c:v>8.7999999999999995E-2</c:v>
                </c:pt>
                <c:pt idx="6">
                  <c:v>9.2999999999999999E-2</c:v>
                </c:pt>
                <c:pt idx="7">
                  <c:v>9.7000000000000003E-2</c:v>
                </c:pt>
                <c:pt idx="8">
                  <c:v>0.107</c:v>
                </c:pt>
                <c:pt idx="9">
                  <c:v>0.122</c:v>
                </c:pt>
                <c:pt idx="10">
                  <c:v>0.14199999999999999</c:v>
                </c:pt>
                <c:pt idx="11">
                  <c:v>0.16600000000000001</c:v>
                </c:pt>
                <c:pt idx="12">
                  <c:v>0.17499999999999999</c:v>
                </c:pt>
                <c:pt idx="13">
                  <c:v>0.17100000000000001</c:v>
                </c:pt>
                <c:pt idx="14">
                  <c:v>0.14899999999999999</c:v>
                </c:pt>
                <c:pt idx="15">
                  <c:v>0.128</c:v>
                </c:pt>
                <c:pt idx="16">
                  <c:v>0.109</c:v>
                </c:pt>
                <c:pt idx="17">
                  <c:v>0.09</c:v>
                </c:pt>
                <c:pt idx="18">
                  <c:v>7.8E-2</c:v>
                </c:pt>
              </c:numCache>
            </c:numRef>
          </c:yVal>
          <c:smooth val="1"/>
          <c:extLst>
            <c:ext xmlns:c16="http://schemas.microsoft.com/office/drawing/2014/chart" uri="{C3380CC4-5D6E-409C-BE32-E72D297353CC}">
              <c16:uniqueId val="{00000001-5714-45DF-BD4B-F15FCE3D4EF3}"/>
            </c:ext>
          </c:extLst>
        </c:ser>
        <c:ser>
          <c:idx val="2"/>
          <c:order val="2"/>
          <c:tx>
            <c:v>Pico 7 - Largura de banda</c:v>
          </c:tx>
          <c:spPr>
            <a:ln w="15875">
              <a:solidFill>
                <a:srgbClr val="FFC000"/>
              </a:solidFill>
            </a:ln>
          </c:spPr>
          <c:marker>
            <c:symbol val="none"/>
          </c:marker>
          <c:xVal>
            <c:numRef>
              <c:f>'Registro Original'!$AE$179:$CM$179</c:f>
              <c:numCache>
                <c:formatCode>0.0</c:formatCode>
                <c:ptCount val="61"/>
                <c:pt idx="0">
                  <c:v>412.5</c:v>
                </c:pt>
                <c:pt idx="1">
                  <c:v>412.7</c:v>
                </c:pt>
                <c:pt idx="2">
                  <c:v>412.9</c:v>
                </c:pt>
                <c:pt idx="3">
                  <c:v>413.09999999999997</c:v>
                </c:pt>
                <c:pt idx="4">
                  <c:v>413.29999999999995</c:v>
                </c:pt>
                <c:pt idx="5">
                  <c:v>413.49999999999994</c:v>
                </c:pt>
                <c:pt idx="6">
                  <c:v>413.69999999999993</c:v>
                </c:pt>
                <c:pt idx="7">
                  <c:v>413.89999999999992</c:v>
                </c:pt>
                <c:pt idx="8">
                  <c:v>414.09999999999991</c:v>
                </c:pt>
                <c:pt idx="9">
                  <c:v>414.2999999999999</c:v>
                </c:pt>
                <c:pt idx="10">
                  <c:v>414.49999999999989</c:v>
                </c:pt>
                <c:pt idx="11">
                  <c:v>414.69999999999987</c:v>
                </c:pt>
                <c:pt idx="12">
                  <c:v>414.89999999999986</c:v>
                </c:pt>
                <c:pt idx="13">
                  <c:v>415.09999999999985</c:v>
                </c:pt>
                <c:pt idx="14">
                  <c:v>415.29999999999984</c:v>
                </c:pt>
                <c:pt idx="15">
                  <c:v>415.49999999999983</c:v>
                </c:pt>
                <c:pt idx="16">
                  <c:v>415.69999999999982</c:v>
                </c:pt>
                <c:pt idx="17">
                  <c:v>415.89999999999981</c:v>
                </c:pt>
                <c:pt idx="18">
                  <c:v>416.0999999999998</c:v>
                </c:pt>
                <c:pt idx="19">
                  <c:v>416.29999999999978</c:v>
                </c:pt>
                <c:pt idx="20">
                  <c:v>416.49999999999977</c:v>
                </c:pt>
                <c:pt idx="21">
                  <c:v>416.69999999999976</c:v>
                </c:pt>
                <c:pt idx="22">
                  <c:v>416.89999999999975</c:v>
                </c:pt>
                <c:pt idx="23">
                  <c:v>417.09999999999974</c:v>
                </c:pt>
                <c:pt idx="24">
                  <c:v>417.29999999999973</c:v>
                </c:pt>
                <c:pt idx="25">
                  <c:v>417.49999999999972</c:v>
                </c:pt>
                <c:pt idx="26">
                  <c:v>417.6999999999997</c:v>
                </c:pt>
                <c:pt idx="27">
                  <c:v>417.89999999999969</c:v>
                </c:pt>
                <c:pt idx="28">
                  <c:v>418.09999999999968</c:v>
                </c:pt>
                <c:pt idx="29">
                  <c:v>418.29999999999967</c:v>
                </c:pt>
                <c:pt idx="30">
                  <c:v>418.49999999999966</c:v>
                </c:pt>
                <c:pt idx="31">
                  <c:v>418.69999999999965</c:v>
                </c:pt>
                <c:pt idx="32">
                  <c:v>418.89999999999964</c:v>
                </c:pt>
                <c:pt idx="33">
                  <c:v>419.09999999999962</c:v>
                </c:pt>
                <c:pt idx="34">
                  <c:v>419.29999999999961</c:v>
                </c:pt>
                <c:pt idx="35">
                  <c:v>419.4999999999996</c:v>
                </c:pt>
                <c:pt idx="36">
                  <c:v>419.69999999999959</c:v>
                </c:pt>
                <c:pt idx="37">
                  <c:v>419.89999999999958</c:v>
                </c:pt>
                <c:pt idx="38">
                  <c:v>420.09999999999957</c:v>
                </c:pt>
                <c:pt idx="39">
                  <c:v>420.29999999999956</c:v>
                </c:pt>
                <c:pt idx="40">
                  <c:v>420.49999999999955</c:v>
                </c:pt>
                <c:pt idx="41">
                  <c:v>420.69999999999953</c:v>
                </c:pt>
                <c:pt idx="42">
                  <c:v>420.89999999999952</c:v>
                </c:pt>
                <c:pt idx="43">
                  <c:v>421.09999999999951</c:v>
                </c:pt>
                <c:pt idx="44">
                  <c:v>421.2999999999995</c:v>
                </c:pt>
                <c:pt idx="45">
                  <c:v>421.49999999999949</c:v>
                </c:pt>
                <c:pt idx="46">
                  <c:v>421.69999999999948</c:v>
                </c:pt>
                <c:pt idx="47">
                  <c:v>421.89999999999947</c:v>
                </c:pt>
                <c:pt idx="48">
                  <c:v>422.09999999999945</c:v>
                </c:pt>
                <c:pt idx="49">
                  <c:v>422.29999999999944</c:v>
                </c:pt>
                <c:pt idx="50">
                  <c:v>422.49999999999943</c:v>
                </c:pt>
                <c:pt idx="51">
                  <c:v>422.69999999999942</c:v>
                </c:pt>
                <c:pt idx="52">
                  <c:v>422.89999999999941</c:v>
                </c:pt>
                <c:pt idx="53">
                  <c:v>423.0999999999994</c:v>
                </c:pt>
                <c:pt idx="54">
                  <c:v>423.29999999999939</c:v>
                </c:pt>
                <c:pt idx="55">
                  <c:v>423.49999999999937</c:v>
                </c:pt>
                <c:pt idx="56">
                  <c:v>423.69999999999936</c:v>
                </c:pt>
                <c:pt idx="57">
                  <c:v>423.89999999999935</c:v>
                </c:pt>
                <c:pt idx="58">
                  <c:v>424.09999999999934</c:v>
                </c:pt>
                <c:pt idx="59">
                  <c:v>424.29999999999933</c:v>
                </c:pt>
                <c:pt idx="60">
                  <c:v>424.49999999999932</c:v>
                </c:pt>
              </c:numCache>
            </c:numRef>
          </c:xVal>
          <c:yVal>
            <c:numRef>
              <c:f>'Registro Original'!$AE$180:$CM$180</c:f>
              <c:numCache>
                <c:formatCode>0.0000</c:formatCode>
                <c:ptCount val="61"/>
                <c:pt idx="0">
                  <c:v>0.20249999999999999</c:v>
                </c:pt>
                <c:pt idx="1">
                  <c:v>0.20249999999999999</c:v>
                </c:pt>
                <c:pt idx="2">
                  <c:v>0.20249999999999999</c:v>
                </c:pt>
                <c:pt idx="3">
                  <c:v>0.20249999999999999</c:v>
                </c:pt>
                <c:pt idx="4">
                  <c:v>0.20249999999999999</c:v>
                </c:pt>
                <c:pt idx="5">
                  <c:v>0.20249999999999999</c:v>
                </c:pt>
                <c:pt idx="6">
                  <c:v>0.20249999999999999</c:v>
                </c:pt>
                <c:pt idx="7">
                  <c:v>0.20249999999999999</c:v>
                </c:pt>
                <c:pt idx="8">
                  <c:v>0.20249999999999999</c:v>
                </c:pt>
                <c:pt idx="9">
                  <c:v>0.20249999999999999</c:v>
                </c:pt>
                <c:pt idx="10">
                  <c:v>0.20249999999999999</c:v>
                </c:pt>
                <c:pt idx="11">
                  <c:v>0.20249999999999999</c:v>
                </c:pt>
                <c:pt idx="12">
                  <c:v>0.20249999999999999</c:v>
                </c:pt>
                <c:pt idx="13">
                  <c:v>0.20249999999999999</c:v>
                </c:pt>
                <c:pt idx="14">
                  <c:v>0.20249999999999999</c:v>
                </c:pt>
                <c:pt idx="15">
                  <c:v>0.20249999999999999</c:v>
                </c:pt>
                <c:pt idx="16">
                  <c:v>0.20249999999999999</c:v>
                </c:pt>
                <c:pt idx="17">
                  <c:v>0.20249999999999999</c:v>
                </c:pt>
                <c:pt idx="18">
                  <c:v>0.20249999999999999</c:v>
                </c:pt>
                <c:pt idx="19">
                  <c:v>0.20249999999999999</c:v>
                </c:pt>
                <c:pt idx="20">
                  <c:v>0.20249999999999999</c:v>
                </c:pt>
                <c:pt idx="21">
                  <c:v>0.20249999999999999</c:v>
                </c:pt>
                <c:pt idx="22">
                  <c:v>0.20249999999999999</c:v>
                </c:pt>
                <c:pt idx="23">
                  <c:v>0.20249999999999999</c:v>
                </c:pt>
                <c:pt idx="24">
                  <c:v>0.20249999999999999</c:v>
                </c:pt>
                <c:pt idx="25">
                  <c:v>0.20249999999999999</c:v>
                </c:pt>
                <c:pt idx="26">
                  <c:v>0.20249999999999999</c:v>
                </c:pt>
                <c:pt idx="27">
                  <c:v>0.20249999999999999</c:v>
                </c:pt>
                <c:pt idx="28">
                  <c:v>0.20249999999999999</c:v>
                </c:pt>
                <c:pt idx="29">
                  <c:v>0.20249999999999999</c:v>
                </c:pt>
                <c:pt idx="30">
                  <c:v>0.20249999999999999</c:v>
                </c:pt>
                <c:pt idx="31">
                  <c:v>0.20249999999999999</c:v>
                </c:pt>
                <c:pt idx="32">
                  <c:v>0.20249999999999999</c:v>
                </c:pt>
                <c:pt idx="33">
                  <c:v>0.20249999999999999</c:v>
                </c:pt>
                <c:pt idx="34">
                  <c:v>0.20249999999999999</c:v>
                </c:pt>
                <c:pt idx="35">
                  <c:v>0.20249999999999999</c:v>
                </c:pt>
                <c:pt idx="36">
                  <c:v>0.20249999999999999</c:v>
                </c:pt>
                <c:pt idx="37">
                  <c:v>0.20249999999999999</c:v>
                </c:pt>
                <c:pt idx="38">
                  <c:v>0.20249999999999999</c:v>
                </c:pt>
                <c:pt idx="39">
                  <c:v>0.20249999999999999</c:v>
                </c:pt>
                <c:pt idx="40">
                  <c:v>0.20249999999999999</c:v>
                </c:pt>
                <c:pt idx="41">
                  <c:v>0.20249999999999999</c:v>
                </c:pt>
                <c:pt idx="42">
                  <c:v>0.20249999999999999</c:v>
                </c:pt>
                <c:pt idx="43">
                  <c:v>0.20249999999999999</c:v>
                </c:pt>
                <c:pt idx="44">
                  <c:v>0.20249999999999999</c:v>
                </c:pt>
                <c:pt idx="45">
                  <c:v>0.20249999999999999</c:v>
                </c:pt>
                <c:pt idx="46">
                  <c:v>0.20249999999999999</c:v>
                </c:pt>
                <c:pt idx="47">
                  <c:v>0.20249999999999999</c:v>
                </c:pt>
                <c:pt idx="48">
                  <c:v>0.20249999999999999</c:v>
                </c:pt>
                <c:pt idx="49">
                  <c:v>0.20249999999999999</c:v>
                </c:pt>
                <c:pt idx="50">
                  <c:v>0.20249999999999999</c:v>
                </c:pt>
                <c:pt idx="51">
                  <c:v>0.20249999999999999</c:v>
                </c:pt>
                <c:pt idx="52">
                  <c:v>0.20249999999999999</c:v>
                </c:pt>
                <c:pt idx="53">
                  <c:v>0.20249999999999999</c:v>
                </c:pt>
                <c:pt idx="54">
                  <c:v>0.20249999999999999</c:v>
                </c:pt>
                <c:pt idx="55">
                  <c:v>0.20249999999999999</c:v>
                </c:pt>
                <c:pt idx="56">
                  <c:v>0.20249999999999999</c:v>
                </c:pt>
                <c:pt idx="57">
                  <c:v>0.20249999999999999</c:v>
                </c:pt>
                <c:pt idx="58">
                  <c:v>0.20249999999999999</c:v>
                </c:pt>
                <c:pt idx="59">
                  <c:v>0.20249999999999999</c:v>
                </c:pt>
                <c:pt idx="60">
                  <c:v>0.20249999999999999</c:v>
                </c:pt>
              </c:numCache>
            </c:numRef>
          </c:yVal>
          <c:smooth val="1"/>
          <c:extLst>
            <c:ext xmlns:c16="http://schemas.microsoft.com/office/drawing/2014/chart" uri="{C3380CC4-5D6E-409C-BE32-E72D297353CC}">
              <c16:uniqueId val="{00000002-5714-45DF-BD4B-F15FCE3D4EF3}"/>
            </c:ext>
          </c:extLst>
        </c:ser>
        <c:ser>
          <c:idx val="3"/>
          <c:order val="3"/>
          <c:tx>
            <c:v>Pico 7 - CAL2</c:v>
          </c:tx>
          <c:spPr>
            <a:ln>
              <a:solidFill>
                <a:srgbClr val="00B050"/>
              </a:solidFill>
            </a:ln>
          </c:spPr>
          <c:marker>
            <c:symbol val="none"/>
          </c:marker>
          <c:xVal>
            <c:numRef>
              <c:f>'Registro Original'!$E$177:$E$201</c:f>
              <c:numCache>
                <c:formatCode>0.0</c:formatCode>
                <c:ptCount val="25"/>
                <c:pt idx="0">
                  <c:v>430.5</c:v>
                </c:pt>
                <c:pt idx="1">
                  <c:v>429.5</c:v>
                </c:pt>
                <c:pt idx="2">
                  <c:v>428.5</c:v>
                </c:pt>
                <c:pt idx="3">
                  <c:v>427.5</c:v>
                </c:pt>
                <c:pt idx="4">
                  <c:v>426.5</c:v>
                </c:pt>
                <c:pt idx="5">
                  <c:v>425.5</c:v>
                </c:pt>
                <c:pt idx="6">
                  <c:v>424.5</c:v>
                </c:pt>
                <c:pt idx="7">
                  <c:v>423.5</c:v>
                </c:pt>
                <c:pt idx="8">
                  <c:v>422.5</c:v>
                </c:pt>
                <c:pt idx="9">
                  <c:v>421.5</c:v>
                </c:pt>
                <c:pt idx="10">
                  <c:v>420.5</c:v>
                </c:pt>
                <c:pt idx="11">
                  <c:v>419.5</c:v>
                </c:pt>
                <c:pt idx="12">
                  <c:v>419</c:v>
                </c:pt>
                <c:pt idx="13">
                  <c:v>418.5</c:v>
                </c:pt>
                <c:pt idx="14">
                  <c:v>418</c:v>
                </c:pt>
                <c:pt idx="15">
                  <c:v>417.5</c:v>
                </c:pt>
                <c:pt idx="16">
                  <c:v>417</c:v>
                </c:pt>
                <c:pt idx="17">
                  <c:v>416.5</c:v>
                </c:pt>
                <c:pt idx="18">
                  <c:v>416</c:v>
                </c:pt>
                <c:pt idx="19">
                  <c:v>415.5</c:v>
                </c:pt>
                <c:pt idx="20">
                  <c:v>415</c:v>
                </c:pt>
                <c:pt idx="21">
                  <c:v>414.5</c:v>
                </c:pt>
                <c:pt idx="22">
                  <c:v>414</c:v>
                </c:pt>
                <c:pt idx="23">
                  <c:v>413.5</c:v>
                </c:pt>
                <c:pt idx="24">
                  <c:v>413</c:v>
                </c:pt>
              </c:numCache>
            </c:numRef>
          </c:xVal>
          <c:yVal>
            <c:numRef>
              <c:f>'Registro Original'!$F$177:$F$201</c:f>
              <c:numCache>
                <c:formatCode>General</c:formatCode>
                <c:ptCount val="25"/>
                <c:pt idx="5">
                  <c:v>0.09</c:v>
                </c:pt>
                <c:pt idx="6">
                  <c:v>9.4E-2</c:v>
                </c:pt>
                <c:pt idx="7">
                  <c:v>9.9000000000000005E-2</c:v>
                </c:pt>
                <c:pt idx="8">
                  <c:v>0.111</c:v>
                </c:pt>
                <c:pt idx="9">
                  <c:v>0.127</c:v>
                </c:pt>
                <c:pt idx="10">
                  <c:v>0.14799999999999999</c:v>
                </c:pt>
                <c:pt idx="11">
                  <c:v>0.16900000000000001</c:v>
                </c:pt>
                <c:pt idx="12">
                  <c:v>0.17499999999999999</c:v>
                </c:pt>
                <c:pt idx="13">
                  <c:v>0.16600000000000001</c:v>
                </c:pt>
                <c:pt idx="14">
                  <c:v>0.14299999999999999</c:v>
                </c:pt>
                <c:pt idx="15">
                  <c:v>0.122</c:v>
                </c:pt>
                <c:pt idx="16">
                  <c:v>0.104</c:v>
                </c:pt>
                <c:pt idx="17">
                  <c:v>8.6999999999999994E-2</c:v>
                </c:pt>
                <c:pt idx="18">
                  <c:v>7.4999999999999997E-2</c:v>
                </c:pt>
                <c:pt idx="19">
                  <c:v>6.6000000000000003E-2</c:v>
                </c:pt>
              </c:numCache>
            </c:numRef>
          </c:yVal>
          <c:smooth val="1"/>
          <c:extLst>
            <c:ext xmlns:c16="http://schemas.microsoft.com/office/drawing/2014/chart" uri="{C3380CC4-5D6E-409C-BE32-E72D297353CC}">
              <c16:uniqueId val="{00000001-E089-46A9-B6C8-4750AEA91DA5}"/>
            </c:ext>
          </c:extLst>
        </c:ser>
        <c:dLbls>
          <c:showLegendKey val="0"/>
          <c:showVal val="0"/>
          <c:showCatName val="0"/>
          <c:showSerName val="0"/>
          <c:showPercent val="0"/>
          <c:showBubbleSize val="0"/>
        </c:dLbls>
        <c:axId val="77313152"/>
        <c:axId val="77315072"/>
      </c:scatterChart>
      <c:valAx>
        <c:axId val="77313152"/>
        <c:scaling>
          <c:orientation val="minMax"/>
          <c:max val="424.5"/>
          <c:min val="412.5"/>
        </c:scaling>
        <c:delete val="0"/>
        <c:axPos val="t"/>
        <c:title>
          <c:tx>
            <c:rich>
              <a:bodyPr/>
              <a:lstStyle/>
              <a:p>
                <a:pPr>
                  <a:defRPr sz="1000" b="1" i="0" u="none" strike="noStrike" baseline="0">
                    <a:solidFill>
                      <a:srgbClr val="000000"/>
                    </a:solidFill>
                    <a:latin typeface="Arial"/>
                    <a:ea typeface="Arial"/>
                    <a:cs typeface="Arial"/>
                  </a:defRPr>
                </a:pPr>
                <a:r>
                  <a:rPr lang="pt-BR"/>
                  <a:t>Comprimento</a:t>
                </a:r>
                <a:r>
                  <a:rPr lang="pt-BR" baseline="0"/>
                  <a:t> de Onda</a:t>
                </a:r>
                <a:r>
                  <a:rPr lang="pt-BR"/>
                  <a:t> [nm]</a:t>
                </a:r>
              </a:p>
            </c:rich>
          </c:tx>
          <c:layout>
            <c:manualLayout>
              <c:xMode val="edge"/>
              <c:yMode val="edge"/>
              <c:x val="0.43979123805746739"/>
              <c:y val="0.89920444207422279"/>
            </c:manualLayout>
          </c:layout>
          <c:overlay val="0"/>
          <c:spPr>
            <a:noFill/>
            <a:ln w="25400">
              <a:noFill/>
            </a:ln>
          </c:spPr>
        </c:title>
        <c:numFmt formatCode="0.0" sourceLinked="0"/>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pt-BR"/>
          </a:p>
        </c:txPr>
        <c:crossAx val="77315072"/>
        <c:crosses val="max"/>
        <c:crossBetween val="midCat"/>
        <c:majorUnit val="1"/>
        <c:minorUnit val="0.2"/>
      </c:valAx>
      <c:valAx>
        <c:axId val="77315072"/>
        <c:scaling>
          <c:orientation val="minMax"/>
          <c:max val="0.29000000000000015"/>
          <c:min val="9.0000000000000024E-2"/>
        </c:scaling>
        <c:delete val="0"/>
        <c:axPos val="l"/>
        <c:majorGridlines>
          <c:spPr>
            <a:ln w="3175">
              <a:solidFill>
                <a:schemeClr val="bg1">
                  <a:lumMod val="65000"/>
                </a:schemeClr>
              </a:solidFill>
              <a:prstDash val="solid"/>
            </a:ln>
          </c:spPr>
        </c:majorGridlines>
        <c:title>
          <c:tx>
            <c:rich>
              <a:bodyPr/>
              <a:lstStyle/>
              <a:p>
                <a:pPr>
                  <a:defRPr sz="1000" b="1" i="0" u="none" strike="noStrike" baseline="0">
                    <a:solidFill>
                      <a:srgbClr val="000000"/>
                    </a:solidFill>
                    <a:latin typeface="Arial"/>
                    <a:ea typeface="Arial"/>
                    <a:cs typeface="Arial"/>
                  </a:defRPr>
                </a:pPr>
                <a:r>
                  <a:rPr lang="pt-BR"/>
                  <a:t>Absorbância </a:t>
                </a:r>
              </a:p>
            </c:rich>
          </c:tx>
          <c:layout>
            <c:manualLayout>
              <c:xMode val="edge"/>
              <c:yMode val="edge"/>
              <c:x val="1.8593473297474759E-2"/>
              <c:y val="0.33554224048687142"/>
            </c:manualLayout>
          </c:layout>
          <c:overlay val="0"/>
          <c:spPr>
            <a:noFill/>
            <a:ln w="25400">
              <a:noFill/>
            </a:ln>
          </c:spPr>
        </c:title>
        <c:numFmt formatCode="0.00" sourceLinked="0"/>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pt-BR"/>
          </a:p>
        </c:txPr>
        <c:crossAx val="77313152"/>
        <c:crossesAt val="284"/>
        <c:crossBetween val="midCat"/>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pt-BR"/>
    </a:p>
  </c:txPr>
  <c:printSettings>
    <c:headerFooter alignWithMargins="0"/>
    <c:pageMargins b="0.98425196899999978" l="0.78740157499999996" r="0.78740157499999996" t="0.98425196899999978" header="0.5" footer="0.5"/>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b="1"/>
              <a:t>Pico 5</a:t>
            </a:r>
            <a:r>
              <a:rPr lang="en-US" sz="1100" b="1" baseline="0"/>
              <a:t>  -  360,8 nm</a:t>
            </a:r>
            <a:endParaRPr lang="en-US" sz="1100" b="1"/>
          </a:p>
        </c:rich>
      </c:tx>
      <c:layout>
        <c:manualLayout>
          <c:xMode val="edge"/>
          <c:yMode val="edge"/>
          <c:x val="0.55327533166433962"/>
          <c:y val="0.18904686012444843"/>
        </c:manualLayout>
      </c:layout>
      <c:overlay val="0"/>
    </c:title>
    <c:autoTitleDeleted val="0"/>
    <c:plotArea>
      <c:layout>
        <c:manualLayout>
          <c:layoutTarget val="inner"/>
          <c:xMode val="edge"/>
          <c:yMode val="edge"/>
          <c:x val="7.5306842458646203E-2"/>
          <c:y val="6.8965474271205723E-2"/>
          <c:w val="0.81675531869566498"/>
          <c:h val="0.74801061007957614"/>
        </c:manualLayout>
      </c:layout>
      <c:scatterChart>
        <c:scatterStyle val="smoothMarker"/>
        <c:varyColors val="0"/>
        <c:ser>
          <c:idx val="0"/>
          <c:order val="0"/>
          <c:tx>
            <c:v>Pico 5</c:v>
          </c:tx>
          <c:spPr>
            <a:ln w="12700">
              <a:solidFill>
                <a:srgbClr val="000080"/>
              </a:solidFill>
              <a:prstDash val="solid"/>
            </a:ln>
          </c:spPr>
          <c:marker>
            <c:symbol val="none"/>
          </c:marker>
          <c:xVal>
            <c:numRef>
              <c:f>'Registro Original'!$AA$3137:$AA$3257</c:f>
              <c:numCache>
                <c:formatCode>0.0</c:formatCode>
                <c:ptCount val="121"/>
                <c:pt idx="0">
                  <c:v>366.8</c:v>
                </c:pt>
                <c:pt idx="1">
                  <c:v>366.7</c:v>
                </c:pt>
                <c:pt idx="2">
                  <c:v>366.6</c:v>
                </c:pt>
                <c:pt idx="3">
                  <c:v>366.5</c:v>
                </c:pt>
                <c:pt idx="4">
                  <c:v>366.4</c:v>
                </c:pt>
                <c:pt idx="5">
                  <c:v>366.3</c:v>
                </c:pt>
                <c:pt idx="6">
                  <c:v>366.2</c:v>
                </c:pt>
                <c:pt idx="7">
                  <c:v>366.1</c:v>
                </c:pt>
                <c:pt idx="8">
                  <c:v>366</c:v>
                </c:pt>
                <c:pt idx="9">
                  <c:v>365.9</c:v>
                </c:pt>
                <c:pt idx="10">
                  <c:v>365.8</c:v>
                </c:pt>
                <c:pt idx="11">
                  <c:v>365.7</c:v>
                </c:pt>
                <c:pt idx="12">
                  <c:v>365.6</c:v>
                </c:pt>
                <c:pt idx="13">
                  <c:v>365.5</c:v>
                </c:pt>
                <c:pt idx="14">
                  <c:v>365.4</c:v>
                </c:pt>
                <c:pt idx="15">
                  <c:v>365.3</c:v>
                </c:pt>
                <c:pt idx="16">
                  <c:v>365.2</c:v>
                </c:pt>
                <c:pt idx="17">
                  <c:v>365.1</c:v>
                </c:pt>
                <c:pt idx="18">
                  <c:v>365</c:v>
                </c:pt>
                <c:pt idx="19">
                  <c:v>364.9</c:v>
                </c:pt>
                <c:pt idx="20">
                  <c:v>364.8</c:v>
                </c:pt>
                <c:pt idx="21">
                  <c:v>364.7</c:v>
                </c:pt>
                <c:pt idx="22">
                  <c:v>364.6</c:v>
                </c:pt>
                <c:pt idx="23">
                  <c:v>364.5</c:v>
                </c:pt>
                <c:pt idx="24">
                  <c:v>364.4</c:v>
                </c:pt>
                <c:pt idx="25">
                  <c:v>364.3</c:v>
                </c:pt>
                <c:pt idx="26">
                  <c:v>364.2</c:v>
                </c:pt>
                <c:pt idx="27">
                  <c:v>364.1</c:v>
                </c:pt>
                <c:pt idx="28">
                  <c:v>364</c:v>
                </c:pt>
                <c:pt idx="29">
                  <c:v>363.9</c:v>
                </c:pt>
                <c:pt idx="30">
                  <c:v>363.8</c:v>
                </c:pt>
                <c:pt idx="31">
                  <c:v>363.7</c:v>
                </c:pt>
                <c:pt idx="32">
                  <c:v>363.6</c:v>
                </c:pt>
                <c:pt idx="33">
                  <c:v>363.5</c:v>
                </c:pt>
                <c:pt idx="34">
                  <c:v>363.4</c:v>
                </c:pt>
                <c:pt idx="35">
                  <c:v>363.3</c:v>
                </c:pt>
                <c:pt idx="36">
                  <c:v>363.2</c:v>
                </c:pt>
                <c:pt idx="37">
                  <c:v>363.1</c:v>
                </c:pt>
                <c:pt idx="38">
                  <c:v>363</c:v>
                </c:pt>
                <c:pt idx="39">
                  <c:v>362.9</c:v>
                </c:pt>
                <c:pt idx="40">
                  <c:v>362.8</c:v>
                </c:pt>
                <c:pt idx="41">
                  <c:v>362.7</c:v>
                </c:pt>
                <c:pt idx="42">
                  <c:v>362.6</c:v>
                </c:pt>
                <c:pt idx="43">
                  <c:v>362.5</c:v>
                </c:pt>
                <c:pt idx="44">
                  <c:v>362.4</c:v>
                </c:pt>
                <c:pt idx="45">
                  <c:v>362.3</c:v>
                </c:pt>
                <c:pt idx="46">
                  <c:v>362.2</c:v>
                </c:pt>
                <c:pt idx="47">
                  <c:v>362.1</c:v>
                </c:pt>
                <c:pt idx="48">
                  <c:v>362</c:v>
                </c:pt>
                <c:pt idx="49">
                  <c:v>361.9</c:v>
                </c:pt>
                <c:pt idx="50">
                  <c:v>361.8</c:v>
                </c:pt>
                <c:pt idx="51">
                  <c:v>361.7</c:v>
                </c:pt>
                <c:pt idx="52">
                  <c:v>361.6</c:v>
                </c:pt>
                <c:pt idx="53">
                  <c:v>361.5</c:v>
                </c:pt>
                <c:pt idx="54">
                  <c:v>361.4</c:v>
                </c:pt>
                <c:pt idx="55">
                  <c:v>361.3</c:v>
                </c:pt>
                <c:pt idx="56">
                  <c:v>361.2</c:v>
                </c:pt>
                <c:pt idx="57">
                  <c:v>361.1</c:v>
                </c:pt>
                <c:pt idx="58">
                  <c:v>361</c:v>
                </c:pt>
                <c:pt idx="59">
                  <c:v>360.9</c:v>
                </c:pt>
                <c:pt idx="60">
                  <c:v>360.8</c:v>
                </c:pt>
                <c:pt idx="61">
                  <c:v>360.7</c:v>
                </c:pt>
                <c:pt idx="62">
                  <c:v>360.6</c:v>
                </c:pt>
                <c:pt idx="63">
                  <c:v>360.5</c:v>
                </c:pt>
                <c:pt idx="64">
                  <c:v>360.4</c:v>
                </c:pt>
                <c:pt idx="65">
                  <c:v>360.3</c:v>
                </c:pt>
                <c:pt idx="66">
                  <c:v>360.2</c:v>
                </c:pt>
                <c:pt idx="67">
                  <c:v>360.1</c:v>
                </c:pt>
                <c:pt idx="68">
                  <c:v>360</c:v>
                </c:pt>
                <c:pt idx="69">
                  <c:v>359.9</c:v>
                </c:pt>
                <c:pt idx="70">
                  <c:v>359.8</c:v>
                </c:pt>
                <c:pt idx="71">
                  <c:v>359.7</c:v>
                </c:pt>
                <c:pt idx="72">
                  <c:v>359.6</c:v>
                </c:pt>
                <c:pt idx="73">
                  <c:v>359.5</c:v>
                </c:pt>
                <c:pt idx="74">
                  <c:v>359.4</c:v>
                </c:pt>
                <c:pt idx="75">
                  <c:v>359.3</c:v>
                </c:pt>
                <c:pt idx="76">
                  <c:v>359.2</c:v>
                </c:pt>
                <c:pt idx="77">
                  <c:v>359.1</c:v>
                </c:pt>
                <c:pt idx="78">
                  <c:v>359</c:v>
                </c:pt>
                <c:pt idx="79">
                  <c:v>358.9</c:v>
                </c:pt>
                <c:pt idx="80">
                  <c:v>358.8</c:v>
                </c:pt>
                <c:pt idx="81">
                  <c:v>358.7</c:v>
                </c:pt>
                <c:pt idx="82">
                  <c:v>358.6</c:v>
                </c:pt>
                <c:pt idx="83">
                  <c:v>358.5</c:v>
                </c:pt>
                <c:pt idx="84">
                  <c:v>358.4</c:v>
                </c:pt>
                <c:pt idx="85">
                  <c:v>358.3</c:v>
                </c:pt>
                <c:pt idx="86">
                  <c:v>358.2</c:v>
                </c:pt>
                <c:pt idx="87">
                  <c:v>358.1</c:v>
                </c:pt>
                <c:pt idx="88">
                  <c:v>358</c:v>
                </c:pt>
                <c:pt idx="89">
                  <c:v>357.9</c:v>
                </c:pt>
                <c:pt idx="90">
                  <c:v>357.8</c:v>
                </c:pt>
                <c:pt idx="91">
                  <c:v>357.7</c:v>
                </c:pt>
                <c:pt idx="92">
                  <c:v>357.6</c:v>
                </c:pt>
                <c:pt idx="93">
                  <c:v>357.5</c:v>
                </c:pt>
                <c:pt idx="94">
                  <c:v>357.4</c:v>
                </c:pt>
                <c:pt idx="95">
                  <c:v>357.3</c:v>
                </c:pt>
                <c:pt idx="96">
                  <c:v>357.2</c:v>
                </c:pt>
                <c:pt idx="97">
                  <c:v>357.1</c:v>
                </c:pt>
                <c:pt idx="98">
                  <c:v>357</c:v>
                </c:pt>
                <c:pt idx="99">
                  <c:v>356.9</c:v>
                </c:pt>
                <c:pt idx="100">
                  <c:v>356.8</c:v>
                </c:pt>
                <c:pt idx="101">
                  <c:v>356.7</c:v>
                </c:pt>
                <c:pt idx="102">
                  <c:v>356.6</c:v>
                </c:pt>
                <c:pt idx="103">
                  <c:v>356.5</c:v>
                </c:pt>
                <c:pt idx="104">
                  <c:v>356.4</c:v>
                </c:pt>
                <c:pt idx="105">
                  <c:v>356.3</c:v>
                </c:pt>
                <c:pt idx="106">
                  <c:v>356.2</c:v>
                </c:pt>
                <c:pt idx="107">
                  <c:v>356.1</c:v>
                </c:pt>
                <c:pt idx="108">
                  <c:v>356</c:v>
                </c:pt>
                <c:pt idx="109">
                  <c:v>355.9</c:v>
                </c:pt>
                <c:pt idx="110">
                  <c:v>355.8</c:v>
                </c:pt>
                <c:pt idx="111">
                  <c:v>355.7</c:v>
                </c:pt>
                <c:pt idx="112">
                  <c:v>355.6</c:v>
                </c:pt>
                <c:pt idx="113">
                  <c:v>355.5</c:v>
                </c:pt>
                <c:pt idx="114">
                  <c:v>355.4</c:v>
                </c:pt>
                <c:pt idx="115">
                  <c:v>355.3</c:v>
                </c:pt>
                <c:pt idx="116">
                  <c:v>355.2</c:v>
                </c:pt>
                <c:pt idx="117">
                  <c:v>355.1</c:v>
                </c:pt>
                <c:pt idx="118">
                  <c:v>355</c:v>
                </c:pt>
                <c:pt idx="119">
                  <c:v>354.9</c:v>
                </c:pt>
                <c:pt idx="120">
                  <c:v>354.8</c:v>
                </c:pt>
              </c:numCache>
            </c:numRef>
          </c:xVal>
          <c:yVal>
            <c:numRef>
              <c:f>'Registro Original'!$AC$3137:$AC$3257</c:f>
              <c:numCache>
                <c:formatCode>0.0000</c:formatCode>
                <c:ptCount val="121"/>
                <c:pt idx="0">
                  <c:v>0.13616580642174136</c:v>
                </c:pt>
                <c:pt idx="1">
                  <c:v>0.13857313066211613</c:v>
                </c:pt>
                <c:pt idx="2">
                  <c:v>0.14179376225107729</c:v>
                </c:pt>
                <c:pt idx="3">
                  <c:v>0.14525077884390342</c:v>
                </c:pt>
                <c:pt idx="4">
                  <c:v>0.14888847986695281</c:v>
                </c:pt>
                <c:pt idx="5">
                  <c:v>0.15293349005766319</c:v>
                </c:pt>
                <c:pt idx="6">
                  <c:v>0.15739700029751066</c:v>
                </c:pt>
                <c:pt idx="7">
                  <c:v>0.16207082479751672</c:v>
                </c:pt>
                <c:pt idx="8">
                  <c:v>0.16697407379167731</c:v>
                </c:pt>
                <c:pt idx="9">
                  <c:v>0.17233354373585846</c:v>
                </c:pt>
                <c:pt idx="10">
                  <c:v>0.1782179863708222</c:v>
                </c:pt>
                <c:pt idx="11">
                  <c:v>0.18454179871926496</c:v>
                </c:pt>
                <c:pt idx="12">
                  <c:v>0.19052109185522551</c:v>
                </c:pt>
                <c:pt idx="13">
                  <c:v>0.19716472552105849</c:v>
                </c:pt>
                <c:pt idx="14">
                  <c:v>0.20354362220264943</c:v>
                </c:pt>
                <c:pt idx="15">
                  <c:v>0.20994013626720223</c:v>
                </c:pt>
                <c:pt idx="16">
                  <c:v>0.21621786872970733</c:v>
                </c:pt>
                <c:pt idx="17">
                  <c:v>0.22226152547375563</c:v>
                </c:pt>
                <c:pt idx="18">
                  <c:v>0.22835373535012443</c:v>
                </c:pt>
                <c:pt idx="19">
                  <c:v>0.23369871545581342</c:v>
                </c:pt>
                <c:pt idx="20">
                  <c:v>0.23901992690217816</c:v>
                </c:pt>
                <c:pt idx="21">
                  <c:v>0.24375196383626985</c:v>
                </c:pt>
                <c:pt idx="22">
                  <c:v>0.24926795865878845</c:v>
                </c:pt>
                <c:pt idx="23">
                  <c:v>0.2542071855333452</c:v>
                </c:pt>
                <c:pt idx="24">
                  <c:v>0.25922689879602584</c:v>
                </c:pt>
                <c:pt idx="25">
                  <c:v>0.26424944305005316</c:v>
                </c:pt>
                <c:pt idx="26">
                  <c:v>0.27030077368383026</c:v>
                </c:pt>
                <c:pt idx="27">
                  <c:v>0.27638837118493853</c:v>
                </c:pt>
                <c:pt idx="28">
                  <c:v>0.28243766809747117</c:v>
                </c:pt>
                <c:pt idx="29">
                  <c:v>0.2896202749901326</c:v>
                </c:pt>
                <c:pt idx="30">
                  <c:v>0.29713022109847298</c:v>
                </c:pt>
                <c:pt idx="31">
                  <c:v>0.30482488948565672</c:v>
                </c:pt>
                <c:pt idx="32">
                  <c:v>0.31403445593959961</c:v>
                </c:pt>
                <c:pt idx="33">
                  <c:v>0.32317840665082653</c:v>
                </c:pt>
                <c:pt idx="34">
                  <c:v>0.3337535383548092</c:v>
                </c:pt>
                <c:pt idx="35">
                  <c:v>0.34425666469265448</c:v>
                </c:pt>
                <c:pt idx="36">
                  <c:v>0.35653745329683956</c:v>
                </c:pt>
                <c:pt idx="37">
                  <c:v>0.36892167912555601</c:v>
                </c:pt>
                <c:pt idx="38">
                  <c:v>0.38252785602780742</c:v>
                </c:pt>
                <c:pt idx="39">
                  <c:v>0.39762525925553949</c:v>
                </c:pt>
                <c:pt idx="40">
                  <c:v>0.41351396750647412</c:v>
                </c:pt>
                <c:pt idx="41">
                  <c:v>0.43007625420636347</c:v>
                </c:pt>
                <c:pt idx="42">
                  <c:v>0.44916039493421489</c:v>
                </c:pt>
                <c:pt idx="43">
                  <c:v>0.47022327224081084</c:v>
                </c:pt>
                <c:pt idx="44">
                  <c:v>0.49209018202971888</c:v>
                </c:pt>
                <c:pt idx="45">
                  <c:v>0.51604203509902635</c:v>
                </c:pt>
                <c:pt idx="46">
                  <c:v>0.54333037057624245</c:v>
                </c:pt>
                <c:pt idx="47">
                  <c:v>0.5751673467118692</c:v>
                </c:pt>
                <c:pt idx="48">
                  <c:v>0.60828879987862805</c:v>
                </c:pt>
                <c:pt idx="49">
                  <c:v>0.64627606241105096</c:v>
                </c:pt>
                <c:pt idx="50">
                  <c:v>0.68782264356022138</c:v>
                </c:pt>
                <c:pt idx="51">
                  <c:v>0.73494621149598527</c:v>
                </c:pt>
                <c:pt idx="52">
                  <c:v>0.78534156112008158</c:v>
                </c:pt>
                <c:pt idx="53">
                  <c:v>0.83794366263944786</c:v>
                </c:pt>
                <c:pt idx="54">
                  <c:v>0.89140115402643327</c:v>
                </c:pt>
                <c:pt idx="55">
                  <c:v>0.94443055993901037</c:v>
                </c:pt>
                <c:pt idx="56">
                  <c:v>0.99658255479780633</c:v>
                </c:pt>
                <c:pt idx="57">
                  <c:v>1.037739606816072</c:v>
                </c:pt>
                <c:pt idx="58">
                  <c:v>1.0664469149415781</c:v>
                </c:pt>
                <c:pt idx="59">
                  <c:v>1.0799027739215441</c:v>
                </c:pt>
                <c:pt idx="60">
                  <c:v>1.0749974923190224</c:v>
                </c:pt>
                <c:pt idx="61">
                  <c:v>1.0514110045701732</c:v>
                </c:pt>
                <c:pt idx="62">
                  <c:v>1.0130089352546952</c:v>
                </c:pt>
                <c:pt idx="63">
                  <c:v>0.96469035984319862</c:v>
                </c:pt>
                <c:pt idx="64">
                  <c:v>0.90745479239439364</c:v>
                </c:pt>
                <c:pt idx="65">
                  <c:v>0.84713094578298753</c:v>
                </c:pt>
                <c:pt idx="66">
                  <c:v>0.78645568146233324</c:v>
                </c:pt>
                <c:pt idx="67">
                  <c:v>0.73146882961317738</c:v>
                </c:pt>
                <c:pt idx="68">
                  <c:v>0.67786343590389708</c:v>
                </c:pt>
                <c:pt idx="69">
                  <c:v>0.62587513982027287</c:v>
                </c:pt>
                <c:pt idx="70">
                  <c:v>0.57704921877298121</c:v>
                </c:pt>
                <c:pt idx="71">
                  <c:v>0.53551045256602869</c:v>
                </c:pt>
                <c:pt idx="72">
                  <c:v>0.49460579971501345</c:v>
                </c:pt>
                <c:pt idx="73">
                  <c:v>0.45798418512941191</c:v>
                </c:pt>
                <c:pt idx="74">
                  <c:v>0.42285301517247492</c:v>
                </c:pt>
                <c:pt idx="75">
                  <c:v>0.39287752701064799</c:v>
                </c:pt>
                <c:pt idx="76">
                  <c:v>0.3657444680743035</c:v>
                </c:pt>
                <c:pt idx="77">
                  <c:v>0.341035157335565</c:v>
                </c:pt>
                <c:pt idx="78">
                  <c:v>0.31717827667250947</c:v>
                </c:pt>
                <c:pt idx="79">
                  <c:v>0.29641632398276768</c:v>
                </c:pt>
                <c:pt idx="80">
                  <c:v>0.2782635590593861</c:v>
                </c:pt>
                <c:pt idx="81">
                  <c:v>0.26312563835157754</c:v>
                </c:pt>
                <c:pt idx="82">
                  <c:v>0.24807455564577605</c:v>
                </c:pt>
                <c:pt idx="83">
                  <c:v>0.23489050279328166</c:v>
                </c:pt>
                <c:pt idx="84">
                  <c:v>0.22279074185431516</c:v>
                </c:pt>
                <c:pt idx="85">
                  <c:v>0.2122208292026882</c:v>
                </c:pt>
                <c:pt idx="86">
                  <c:v>0.20249009767111964</c:v>
                </c:pt>
                <c:pt idx="87">
                  <c:v>0.1929387600827609</c:v>
                </c:pt>
                <c:pt idx="88">
                  <c:v>0.18425626868808143</c:v>
                </c:pt>
                <c:pt idx="89">
                  <c:v>0.17647360645729782</c:v>
                </c:pt>
                <c:pt idx="90">
                  <c:v>0.1689304737474768</c:v>
                </c:pt>
                <c:pt idx="91">
                  <c:v>0.1618753372570769</c:v>
                </c:pt>
                <c:pt idx="92">
                  <c:v>0.15462906064221527</c:v>
                </c:pt>
                <c:pt idx="93">
                  <c:v>0.1480509996614712</c:v>
                </c:pt>
                <c:pt idx="94">
                  <c:v>0.14204666515101894</c:v>
                </c:pt>
                <c:pt idx="95">
                  <c:v>0.13643923547375744</c:v>
                </c:pt>
                <c:pt idx="96">
                  <c:v>0.13120866680184479</c:v>
                </c:pt>
                <c:pt idx="97">
                  <c:v>0.12622615459473402</c:v>
                </c:pt>
                <c:pt idx="98">
                  <c:v>0.12199552973197479</c:v>
                </c:pt>
                <c:pt idx="99">
                  <c:v>0.11815333081354097</c:v>
                </c:pt>
                <c:pt idx="100">
                  <c:v>0.11439568834427578</c:v>
                </c:pt>
                <c:pt idx="101">
                  <c:v>0.11149476695235412</c:v>
                </c:pt>
                <c:pt idx="102">
                  <c:v>0.10869675654027885</c:v>
                </c:pt>
                <c:pt idx="103">
                  <c:v>0.10621605232830479</c:v>
                </c:pt>
                <c:pt idx="104">
                  <c:v>0.10381010513176463</c:v>
                </c:pt>
                <c:pt idx="105">
                  <c:v>0.10182351650232349</c:v>
                </c:pt>
                <c:pt idx="106">
                  <c:v>9.9692966561545471E-2</c:v>
                </c:pt>
                <c:pt idx="107">
                  <c:v>9.7610878084579189E-2</c:v>
                </c:pt>
                <c:pt idx="108">
                  <c:v>9.5825631715836468E-2</c:v>
                </c:pt>
                <c:pt idx="109">
                  <c:v>9.4312032288147787E-2</c:v>
                </c:pt>
                <c:pt idx="110">
                  <c:v>9.3094176925667335E-2</c:v>
                </c:pt>
                <c:pt idx="111">
                  <c:v>9.1327363543629192E-2</c:v>
                </c:pt>
                <c:pt idx="112">
                  <c:v>8.991479631433108E-2</c:v>
                </c:pt>
                <c:pt idx="113">
                  <c:v>8.885304892409103E-2</c:v>
                </c:pt>
                <c:pt idx="114">
                  <c:v>8.7809838970388659E-2</c:v>
                </c:pt>
                <c:pt idx="115">
                  <c:v>8.703968595688405E-2</c:v>
                </c:pt>
                <c:pt idx="116">
                  <c:v>8.6408648118105877E-2</c:v>
                </c:pt>
                <c:pt idx="117">
                  <c:v>8.5508753083312503E-2</c:v>
                </c:pt>
                <c:pt idx="118">
                  <c:v>8.5117615812781697E-2</c:v>
                </c:pt>
                <c:pt idx="119">
                  <c:v>8.496442831263544E-2</c:v>
                </c:pt>
                <c:pt idx="120">
                  <c:v>8.4610718852346348E-2</c:v>
                </c:pt>
              </c:numCache>
            </c:numRef>
          </c:yVal>
          <c:smooth val="1"/>
          <c:extLst>
            <c:ext xmlns:c16="http://schemas.microsoft.com/office/drawing/2014/chart" uri="{C3380CC4-5D6E-409C-BE32-E72D297353CC}">
              <c16:uniqueId val="{00000000-8EB8-419D-A9EE-2D18B897E67D}"/>
            </c:ext>
          </c:extLst>
        </c:ser>
        <c:ser>
          <c:idx val="1"/>
          <c:order val="1"/>
          <c:tx>
            <c:v>Pico 5 - CAL1</c:v>
          </c:tx>
          <c:spPr>
            <a:ln>
              <a:solidFill>
                <a:srgbClr val="FF0000"/>
              </a:solidFill>
            </a:ln>
          </c:spPr>
          <c:marker>
            <c:symbol val="none"/>
          </c:marker>
          <c:xVal>
            <c:numRef>
              <c:f>'Registro Original'!$B$227:$B$251</c:f>
              <c:numCache>
                <c:formatCode>0.0</c:formatCode>
                <c:ptCount val="25"/>
                <c:pt idx="0">
                  <c:v>373</c:v>
                </c:pt>
                <c:pt idx="1">
                  <c:v>372</c:v>
                </c:pt>
                <c:pt idx="2">
                  <c:v>371</c:v>
                </c:pt>
                <c:pt idx="3">
                  <c:v>370</c:v>
                </c:pt>
                <c:pt idx="4">
                  <c:v>369</c:v>
                </c:pt>
                <c:pt idx="5">
                  <c:v>368</c:v>
                </c:pt>
                <c:pt idx="6">
                  <c:v>367</c:v>
                </c:pt>
                <c:pt idx="7">
                  <c:v>366</c:v>
                </c:pt>
                <c:pt idx="8">
                  <c:v>365</c:v>
                </c:pt>
                <c:pt idx="9">
                  <c:v>364</c:v>
                </c:pt>
                <c:pt idx="10">
                  <c:v>363</c:v>
                </c:pt>
                <c:pt idx="11">
                  <c:v>362</c:v>
                </c:pt>
                <c:pt idx="12">
                  <c:v>361</c:v>
                </c:pt>
                <c:pt idx="13">
                  <c:v>360</c:v>
                </c:pt>
                <c:pt idx="14">
                  <c:v>359</c:v>
                </c:pt>
                <c:pt idx="15">
                  <c:v>358</c:v>
                </c:pt>
                <c:pt idx="16">
                  <c:v>357</c:v>
                </c:pt>
                <c:pt idx="17">
                  <c:v>356</c:v>
                </c:pt>
                <c:pt idx="18">
                  <c:v>355</c:v>
                </c:pt>
                <c:pt idx="19">
                  <c:v>354</c:v>
                </c:pt>
                <c:pt idx="20">
                  <c:v>353</c:v>
                </c:pt>
                <c:pt idx="21">
                  <c:v>352</c:v>
                </c:pt>
                <c:pt idx="22">
                  <c:v>351</c:v>
                </c:pt>
                <c:pt idx="23">
                  <c:v>350</c:v>
                </c:pt>
                <c:pt idx="24">
                  <c:v>349</c:v>
                </c:pt>
              </c:numCache>
            </c:numRef>
          </c:xVal>
          <c:yVal>
            <c:numRef>
              <c:f>'Registro Original'!$C$227:$C$251</c:f>
              <c:numCache>
                <c:formatCode>0.000</c:formatCode>
                <c:ptCount val="25"/>
                <c:pt idx="6">
                  <c:v>0.152</c:v>
                </c:pt>
                <c:pt idx="7">
                  <c:v>0.187</c:v>
                </c:pt>
                <c:pt idx="8">
                  <c:v>0.23799999999999999</c:v>
                </c:pt>
                <c:pt idx="9">
                  <c:v>0.31900000000000001</c:v>
                </c:pt>
                <c:pt idx="10">
                  <c:v>0.38300000000000001</c:v>
                </c:pt>
                <c:pt idx="11">
                  <c:v>0.41699999999999998</c:v>
                </c:pt>
                <c:pt idx="12">
                  <c:v>0.39300000000000002</c:v>
                </c:pt>
                <c:pt idx="13">
                  <c:v>0.32100000000000001</c:v>
                </c:pt>
                <c:pt idx="14">
                  <c:v>0.23400000000000001</c:v>
                </c:pt>
                <c:pt idx="15">
                  <c:v>0.16300000000000001</c:v>
                </c:pt>
                <c:pt idx="16">
                  <c:v>0.114</c:v>
                </c:pt>
                <c:pt idx="17">
                  <c:v>9.5000000000000001E-2</c:v>
                </c:pt>
                <c:pt idx="18">
                  <c:v>8.5000000000000006E-2</c:v>
                </c:pt>
              </c:numCache>
            </c:numRef>
          </c:yVal>
          <c:smooth val="1"/>
          <c:extLst>
            <c:ext xmlns:c16="http://schemas.microsoft.com/office/drawing/2014/chart" uri="{C3380CC4-5D6E-409C-BE32-E72D297353CC}">
              <c16:uniqueId val="{00000001-8EB8-419D-A9EE-2D18B897E67D}"/>
            </c:ext>
          </c:extLst>
        </c:ser>
        <c:ser>
          <c:idx val="2"/>
          <c:order val="2"/>
          <c:tx>
            <c:v>Pico 5 - Largura de banda</c:v>
          </c:tx>
          <c:spPr>
            <a:ln w="15875">
              <a:solidFill>
                <a:srgbClr val="FFC000"/>
              </a:solidFill>
            </a:ln>
          </c:spPr>
          <c:marker>
            <c:symbol val="none"/>
          </c:marker>
          <c:xVal>
            <c:numRef>
              <c:f>'Registro Original'!$AE$229:$CM$229</c:f>
              <c:numCache>
                <c:formatCode>0.0</c:formatCode>
                <c:ptCount val="61"/>
                <c:pt idx="0">
                  <c:v>354.8</c:v>
                </c:pt>
                <c:pt idx="1">
                  <c:v>355</c:v>
                </c:pt>
                <c:pt idx="2">
                  <c:v>355.2</c:v>
                </c:pt>
                <c:pt idx="3">
                  <c:v>355.4</c:v>
                </c:pt>
                <c:pt idx="4">
                  <c:v>355.59999999999997</c:v>
                </c:pt>
                <c:pt idx="5">
                  <c:v>355.79999999999995</c:v>
                </c:pt>
                <c:pt idx="6">
                  <c:v>355.99999999999994</c:v>
                </c:pt>
                <c:pt idx="7">
                  <c:v>356.19999999999993</c:v>
                </c:pt>
                <c:pt idx="8">
                  <c:v>356.39999999999992</c:v>
                </c:pt>
                <c:pt idx="9">
                  <c:v>356.59999999999991</c:v>
                </c:pt>
                <c:pt idx="10">
                  <c:v>356.7999999999999</c:v>
                </c:pt>
                <c:pt idx="11">
                  <c:v>356.99999999999989</c:v>
                </c:pt>
                <c:pt idx="12">
                  <c:v>357.19999999999987</c:v>
                </c:pt>
                <c:pt idx="13">
                  <c:v>357.39999999999986</c:v>
                </c:pt>
                <c:pt idx="14">
                  <c:v>357.59999999999985</c:v>
                </c:pt>
                <c:pt idx="15">
                  <c:v>357.79999999999984</c:v>
                </c:pt>
                <c:pt idx="16">
                  <c:v>357.99999999999983</c:v>
                </c:pt>
                <c:pt idx="17">
                  <c:v>358.19999999999982</c:v>
                </c:pt>
                <c:pt idx="18">
                  <c:v>358.39999999999981</c:v>
                </c:pt>
                <c:pt idx="19">
                  <c:v>358.5999999999998</c:v>
                </c:pt>
                <c:pt idx="20">
                  <c:v>358.79999999999978</c:v>
                </c:pt>
                <c:pt idx="21">
                  <c:v>358.99999999999977</c:v>
                </c:pt>
                <c:pt idx="22">
                  <c:v>359.19999999999976</c:v>
                </c:pt>
                <c:pt idx="23">
                  <c:v>359.39999999999975</c:v>
                </c:pt>
                <c:pt idx="24">
                  <c:v>359.59999999999974</c:v>
                </c:pt>
                <c:pt idx="25">
                  <c:v>359.79999999999973</c:v>
                </c:pt>
                <c:pt idx="26">
                  <c:v>359.99999999999972</c:v>
                </c:pt>
                <c:pt idx="27">
                  <c:v>360.1999999999997</c:v>
                </c:pt>
                <c:pt idx="28">
                  <c:v>360.39999999999969</c:v>
                </c:pt>
                <c:pt idx="29">
                  <c:v>360.59999999999968</c:v>
                </c:pt>
                <c:pt idx="30">
                  <c:v>360.79999999999967</c:v>
                </c:pt>
                <c:pt idx="31">
                  <c:v>360.99999999999966</c:v>
                </c:pt>
                <c:pt idx="32">
                  <c:v>361.19999999999965</c:v>
                </c:pt>
                <c:pt idx="33">
                  <c:v>361.39999999999964</c:v>
                </c:pt>
                <c:pt idx="34">
                  <c:v>361.59999999999962</c:v>
                </c:pt>
                <c:pt idx="35">
                  <c:v>361.79999999999961</c:v>
                </c:pt>
                <c:pt idx="36">
                  <c:v>361.9999999999996</c:v>
                </c:pt>
                <c:pt idx="37">
                  <c:v>362.19999999999959</c:v>
                </c:pt>
                <c:pt idx="38">
                  <c:v>362.39999999999958</c:v>
                </c:pt>
                <c:pt idx="39">
                  <c:v>362.59999999999957</c:v>
                </c:pt>
                <c:pt idx="40">
                  <c:v>362.79999999999956</c:v>
                </c:pt>
                <c:pt idx="41">
                  <c:v>362.99999999999955</c:v>
                </c:pt>
                <c:pt idx="42">
                  <c:v>363.19999999999953</c:v>
                </c:pt>
                <c:pt idx="43">
                  <c:v>363.39999999999952</c:v>
                </c:pt>
                <c:pt idx="44">
                  <c:v>363.59999999999951</c:v>
                </c:pt>
                <c:pt idx="45">
                  <c:v>363.7999999999995</c:v>
                </c:pt>
                <c:pt idx="46">
                  <c:v>363.99999999999949</c:v>
                </c:pt>
                <c:pt idx="47">
                  <c:v>364.19999999999948</c:v>
                </c:pt>
                <c:pt idx="48">
                  <c:v>364.39999999999947</c:v>
                </c:pt>
                <c:pt idx="49">
                  <c:v>364.59999999999945</c:v>
                </c:pt>
                <c:pt idx="50">
                  <c:v>364.79999999999944</c:v>
                </c:pt>
                <c:pt idx="51">
                  <c:v>364.99999999999943</c:v>
                </c:pt>
                <c:pt idx="52">
                  <c:v>365.19999999999942</c:v>
                </c:pt>
                <c:pt idx="53">
                  <c:v>365.39999999999941</c:v>
                </c:pt>
                <c:pt idx="54">
                  <c:v>365.5999999999994</c:v>
                </c:pt>
                <c:pt idx="55">
                  <c:v>365.79999999999939</c:v>
                </c:pt>
                <c:pt idx="56">
                  <c:v>365.99999999999937</c:v>
                </c:pt>
                <c:pt idx="57">
                  <c:v>366.19999999999936</c:v>
                </c:pt>
                <c:pt idx="58">
                  <c:v>366.39999999999935</c:v>
                </c:pt>
                <c:pt idx="59">
                  <c:v>366.59999999999934</c:v>
                </c:pt>
                <c:pt idx="60">
                  <c:v>366.79999999999933</c:v>
                </c:pt>
              </c:numCache>
            </c:numRef>
          </c:xVal>
          <c:yVal>
            <c:numRef>
              <c:f>'Registro Original'!$AE$230:$CM$230</c:f>
              <c:numCache>
                <c:formatCode>0.0000</c:formatCode>
                <c:ptCount val="61"/>
                <c:pt idx="0">
                  <c:v>0.60804999999999998</c:v>
                </c:pt>
                <c:pt idx="1">
                  <c:v>0.60804999999999998</c:v>
                </c:pt>
                <c:pt idx="2">
                  <c:v>0.60804999999999998</c:v>
                </c:pt>
                <c:pt idx="3">
                  <c:v>0.60804999999999998</c:v>
                </c:pt>
                <c:pt idx="4">
                  <c:v>0.60804999999999998</c:v>
                </c:pt>
                <c:pt idx="5">
                  <c:v>0.60804999999999998</c:v>
                </c:pt>
                <c:pt idx="6">
                  <c:v>0.60804999999999998</c:v>
                </c:pt>
                <c:pt idx="7">
                  <c:v>0.60804999999999998</c:v>
                </c:pt>
                <c:pt idx="8">
                  <c:v>0.60804999999999998</c:v>
                </c:pt>
                <c:pt idx="9">
                  <c:v>0.60804999999999998</c:v>
                </c:pt>
                <c:pt idx="10">
                  <c:v>0.60804999999999998</c:v>
                </c:pt>
                <c:pt idx="11">
                  <c:v>0.60804999999999998</c:v>
                </c:pt>
                <c:pt idx="12">
                  <c:v>0.60804999999999998</c:v>
                </c:pt>
                <c:pt idx="13">
                  <c:v>0.60804999999999998</c:v>
                </c:pt>
                <c:pt idx="14">
                  <c:v>0.60804999999999998</c:v>
                </c:pt>
                <c:pt idx="15">
                  <c:v>0.60804999999999998</c:v>
                </c:pt>
                <c:pt idx="16">
                  <c:v>0.60804999999999998</c:v>
                </c:pt>
                <c:pt idx="17">
                  <c:v>0.60804999999999998</c:v>
                </c:pt>
                <c:pt idx="18">
                  <c:v>0.60804999999999998</c:v>
                </c:pt>
                <c:pt idx="19">
                  <c:v>0.60804999999999998</c:v>
                </c:pt>
                <c:pt idx="20">
                  <c:v>0.60804999999999998</c:v>
                </c:pt>
                <c:pt idx="21">
                  <c:v>0.60804999999999998</c:v>
                </c:pt>
                <c:pt idx="22">
                  <c:v>0.60804999999999998</c:v>
                </c:pt>
                <c:pt idx="23">
                  <c:v>0.60804999999999998</c:v>
                </c:pt>
                <c:pt idx="24">
                  <c:v>0.60804999999999998</c:v>
                </c:pt>
                <c:pt idx="25">
                  <c:v>0.60804999999999998</c:v>
                </c:pt>
                <c:pt idx="26">
                  <c:v>0.60804999999999998</c:v>
                </c:pt>
                <c:pt idx="27">
                  <c:v>0.60804999999999998</c:v>
                </c:pt>
                <c:pt idx="28">
                  <c:v>0.60804999999999998</c:v>
                </c:pt>
                <c:pt idx="29">
                  <c:v>0.60804999999999998</c:v>
                </c:pt>
                <c:pt idx="30">
                  <c:v>0.60804999999999998</c:v>
                </c:pt>
                <c:pt idx="31">
                  <c:v>0.60804999999999998</c:v>
                </c:pt>
                <c:pt idx="32">
                  <c:v>0.60804999999999998</c:v>
                </c:pt>
                <c:pt idx="33">
                  <c:v>0.60804999999999998</c:v>
                </c:pt>
                <c:pt idx="34">
                  <c:v>0.60804999999999998</c:v>
                </c:pt>
                <c:pt idx="35">
                  <c:v>0.60804999999999998</c:v>
                </c:pt>
                <c:pt idx="36">
                  <c:v>0.60804999999999998</c:v>
                </c:pt>
                <c:pt idx="37">
                  <c:v>0.60804999999999998</c:v>
                </c:pt>
                <c:pt idx="38">
                  <c:v>0.60804999999999998</c:v>
                </c:pt>
                <c:pt idx="39">
                  <c:v>0.60804999999999998</c:v>
                </c:pt>
                <c:pt idx="40">
                  <c:v>0.60804999999999998</c:v>
                </c:pt>
                <c:pt idx="41">
                  <c:v>0.60804999999999998</c:v>
                </c:pt>
                <c:pt idx="42">
                  <c:v>0.60804999999999998</c:v>
                </c:pt>
                <c:pt idx="43">
                  <c:v>0.60804999999999998</c:v>
                </c:pt>
                <c:pt idx="44">
                  <c:v>0.60804999999999998</c:v>
                </c:pt>
                <c:pt idx="45">
                  <c:v>0.60804999999999998</c:v>
                </c:pt>
                <c:pt idx="46">
                  <c:v>0.60804999999999998</c:v>
                </c:pt>
                <c:pt idx="47">
                  <c:v>0.60804999999999998</c:v>
                </c:pt>
                <c:pt idx="48">
                  <c:v>0.60804999999999998</c:v>
                </c:pt>
                <c:pt idx="49">
                  <c:v>0.60804999999999998</c:v>
                </c:pt>
                <c:pt idx="50">
                  <c:v>0.60804999999999998</c:v>
                </c:pt>
                <c:pt idx="51">
                  <c:v>0.60804999999999998</c:v>
                </c:pt>
                <c:pt idx="52">
                  <c:v>0.60804999999999998</c:v>
                </c:pt>
                <c:pt idx="53">
                  <c:v>0.60804999999999998</c:v>
                </c:pt>
                <c:pt idx="54">
                  <c:v>0.60804999999999998</c:v>
                </c:pt>
                <c:pt idx="55">
                  <c:v>0.60804999999999998</c:v>
                </c:pt>
                <c:pt idx="56">
                  <c:v>0.60804999999999998</c:v>
                </c:pt>
                <c:pt idx="57">
                  <c:v>0.60804999999999998</c:v>
                </c:pt>
                <c:pt idx="58">
                  <c:v>0.60804999999999998</c:v>
                </c:pt>
                <c:pt idx="59">
                  <c:v>0.60804999999999998</c:v>
                </c:pt>
                <c:pt idx="60">
                  <c:v>0.60804999999999998</c:v>
                </c:pt>
              </c:numCache>
            </c:numRef>
          </c:yVal>
          <c:smooth val="1"/>
          <c:extLst>
            <c:ext xmlns:c16="http://schemas.microsoft.com/office/drawing/2014/chart" uri="{C3380CC4-5D6E-409C-BE32-E72D297353CC}">
              <c16:uniqueId val="{00000002-8EB8-419D-A9EE-2D18B897E67D}"/>
            </c:ext>
          </c:extLst>
        </c:ser>
        <c:ser>
          <c:idx val="3"/>
          <c:order val="3"/>
          <c:tx>
            <c:v>Pico 5 - CAL2</c:v>
          </c:tx>
          <c:spPr>
            <a:ln>
              <a:solidFill>
                <a:srgbClr val="00B050"/>
              </a:solidFill>
            </a:ln>
          </c:spPr>
          <c:marker>
            <c:symbol val="none"/>
          </c:marker>
          <c:xVal>
            <c:numRef>
              <c:f>'Registro Original'!$E$227:$E$251</c:f>
              <c:numCache>
                <c:formatCode>0.0</c:formatCode>
                <c:ptCount val="25"/>
                <c:pt idx="0">
                  <c:v>367</c:v>
                </c:pt>
                <c:pt idx="1">
                  <c:v>366.5</c:v>
                </c:pt>
                <c:pt idx="2">
                  <c:v>366</c:v>
                </c:pt>
                <c:pt idx="3">
                  <c:v>365.5</c:v>
                </c:pt>
                <c:pt idx="4">
                  <c:v>365</c:v>
                </c:pt>
                <c:pt idx="5">
                  <c:v>364.5</c:v>
                </c:pt>
                <c:pt idx="6">
                  <c:v>364</c:v>
                </c:pt>
                <c:pt idx="7">
                  <c:v>363.5</c:v>
                </c:pt>
                <c:pt idx="8">
                  <c:v>363</c:v>
                </c:pt>
                <c:pt idx="9">
                  <c:v>362.5</c:v>
                </c:pt>
                <c:pt idx="10">
                  <c:v>362</c:v>
                </c:pt>
                <c:pt idx="11">
                  <c:v>361.5</c:v>
                </c:pt>
                <c:pt idx="12">
                  <c:v>361</c:v>
                </c:pt>
                <c:pt idx="13">
                  <c:v>360.5</c:v>
                </c:pt>
                <c:pt idx="14">
                  <c:v>360</c:v>
                </c:pt>
                <c:pt idx="15">
                  <c:v>359.5</c:v>
                </c:pt>
                <c:pt idx="16">
                  <c:v>359</c:v>
                </c:pt>
                <c:pt idx="17">
                  <c:v>358.5</c:v>
                </c:pt>
                <c:pt idx="18">
                  <c:v>358</c:v>
                </c:pt>
                <c:pt idx="19">
                  <c:v>357.5</c:v>
                </c:pt>
                <c:pt idx="20">
                  <c:v>357</c:v>
                </c:pt>
                <c:pt idx="21">
                  <c:v>356.5</c:v>
                </c:pt>
                <c:pt idx="22">
                  <c:v>356</c:v>
                </c:pt>
                <c:pt idx="23">
                  <c:v>355.5</c:v>
                </c:pt>
                <c:pt idx="24">
                  <c:v>355</c:v>
                </c:pt>
              </c:numCache>
            </c:numRef>
          </c:xVal>
          <c:yVal>
            <c:numRef>
              <c:f>'Registro Original'!$F$227:$F$251</c:f>
              <c:numCache>
                <c:formatCode>General</c:formatCode>
                <c:ptCount val="25"/>
                <c:pt idx="6">
                  <c:v>0.16200000000000001</c:v>
                </c:pt>
                <c:pt idx="7">
                  <c:v>0.20200000000000001</c:v>
                </c:pt>
                <c:pt idx="8">
                  <c:v>0.25700000000000001</c:v>
                </c:pt>
                <c:pt idx="9">
                  <c:v>0.34</c:v>
                </c:pt>
                <c:pt idx="10">
                  <c:v>0.39800000000000002</c:v>
                </c:pt>
                <c:pt idx="11">
                  <c:v>0.41799999999999998</c:v>
                </c:pt>
                <c:pt idx="12">
                  <c:v>0.375</c:v>
                </c:pt>
                <c:pt idx="13">
                  <c:v>0.29499999999999998</c:v>
                </c:pt>
                <c:pt idx="14">
                  <c:v>0.21</c:v>
                </c:pt>
                <c:pt idx="15">
                  <c:v>0.14599999999999999</c:v>
                </c:pt>
                <c:pt idx="16">
                  <c:v>0.107</c:v>
                </c:pt>
                <c:pt idx="17">
                  <c:v>9.0999999999999998E-2</c:v>
                </c:pt>
                <c:pt idx="18">
                  <c:v>8.3000000000000004E-2</c:v>
                </c:pt>
                <c:pt idx="19">
                  <c:v>0.08</c:v>
                </c:pt>
                <c:pt idx="20">
                  <c:v>7.9000000000000001E-2</c:v>
                </c:pt>
                <c:pt idx="21">
                  <c:v>8.1000000000000003E-2</c:v>
                </c:pt>
              </c:numCache>
            </c:numRef>
          </c:yVal>
          <c:smooth val="1"/>
          <c:extLst>
            <c:ext xmlns:c16="http://schemas.microsoft.com/office/drawing/2014/chart" uri="{C3380CC4-5D6E-409C-BE32-E72D297353CC}">
              <c16:uniqueId val="{00000001-69E2-4FBB-92B4-8A390A1369BE}"/>
            </c:ext>
          </c:extLst>
        </c:ser>
        <c:dLbls>
          <c:showLegendKey val="0"/>
          <c:showVal val="0"/>
          <c:showCatName val="0"/>
          <c:showSerName val="0"/>
          <c:showPercent val="0"/>
          <c:showBubbleSize val="0"/>
        </c:dLbls>
        <c:axId val="77787520"/>
        <c:axId val="77789440"/>
      </c:scatterChart>
      <c:valAx>
        <c:axId val="77787520"/>
        <c:scaling>
          <c:orientation val="minMax"/>
          <c:max val="366.8"/>
          <c:min val="354.8"/>
        </c:scaling>
        <c:delete val="0"/>
        <c:axPos val="t"/>
        <c:title>
          <c:tx>
            <c:rich>
              <a:bodyPr/>
              <a:lstStyle/>
              <a:p>
                <a:pPr>
                  <a:defRPr sz="1000" b="1" i="0" u="none" strike="noStrike" baseline="0">
                    <a:solidFill>
                      <a:srgbClr val="000000"/>
                    </a:solidFill>
                    <a:latin typeface="Arial"/>
                    <a:ea typeface="Arial"/>
                    <a:cs typeface="Arial"/>
                  </a:defRPr>
                </a:pPr>
                <a:r>
                  <a:rPr lang="pt-BR"/>
                  <a:t>Comprimento</a:t>
                </a:r>
                <a:r>
                  <a:rPr lang="pt-BR" baseline="0"/>
                  <a:t> de Onda</a:t>
                </a:r>
                <a:r>
                  <a:rPr lang="pt-BR"/>
                  <a:t> [nm]</a:t>
                </a:r>
              </a:p>
            </c:rich>
          </c:tx>
          <c:layout>
            <c:manualLayout>
              <c:xMode val="edge"/>
              <c:yMode val="edge"/>
              <c:x val="0.43979123805746739"/>
              <c:y val="0.89920460343258712"/>
            </c:manualLayout>
          </c:layout>
          <c:overlay val="0"/>
          <c:spPr>
            <a:noFill/>
            <a:ln w="25400">
              <a:noFill/>
            </a:ln>
          </c:spPr>
        </c:title>
        <c:numFmt formatCode="0.0" sourceLinked="0"/>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pt-BR"/>
          </a:p>
        </c:txPr>
        <c:crossAx val="77789440"/>
        <c:crosses val="max"/>
        <c:crossBetween val="midCat"/>
        <c:majorUnit val="1"/>
        <c:minorUnit val="0.2"/>
      </c:valAx>
      <c:valAx>
        <c:axId val="77789440"/>
        <c:scaling>
          <c:orientation val="minMax"/>
          <c:max val="1.2"/>
          <c:min val="8.0000000000000043E-2"/>
        </c:scaling>
        <c:delete val="0"/>
        <c:axPos val="l"/>
        <c:majorGridlines>
          <c:spPr>
            <a:ln w="3175">
              <a:solidFill>
                <a:schemeClr val="bg1">
                  <a:lumMod val="65000"/>
                </a:schemeClr>
              </a:solidFill>
              <a:prstDash val="solid"/>
            </a:ln>
          </c:spPr>
        </c:majorGridlines>
        <c:title>
          <c:tx>
            <c:rich>
              <a:bodyPr/>
              <a:lstStyle/>
              <a:p>
                <a:pPr>
                  <a:defRPr sz="1000" b="1" i="0" u="none" strike="noStrike" baseline="0">
                    <a:solidFill>
                      <a:srgbClr val="000000"/>
                    </a:solidFill>
                    <a:latin typeface="Arial"/>
                    <a:ea typeface="Arial"/>
                    <a:cs typeface="Arial"/>
                  </a:defRPr>
                </a:pPr>
                <a:r>
                  <a:rPr lang="pt-BR"/>
                  <a:t>Absorbância </a:t>
                </a:r>
              </a:p>
            </c:rich>
          </c:tx>
          <c:layout>
            <c:manualLayout>
              <c:xMode val="edge"/>
              <c:yMode val="edge"/>
              <c:x val="1.6112896695887842E-2"/>
              <c:y val="0.33949894539735659"/>
            </c:manualLayout>
          </c:layout>
          <c:overlay val="0"/>
          <c:spPr>
            <a:noFill/>
            <a:ln w="25400">
              <a:noFill/>
            </a:ln>
          </c:spPr>
        </c:title>
        <c:numFmt formatCode="0.00" sourceLinked="0"/>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pt-BR"/>
          </a:p>
        </c:txPr>
        <c:crossAx val="77787520"/>
        <c:crosses val="autoZero"/>
        <c:crossBetween val="midCat"/>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pt-BR"/>
    </a:p>
  </c:txPr>
  <c:printSettings>
    <c:headerFooter alignWithMargins="0"/>
    <c:pageMargins b="0.98425196899999978" l="0.78740157499999996" r="0.78740157499999996" t="0.98425196899999978"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b="1"/>
              <a:t>Pico 7A</a:t>
            </a:r>
            <a:r>
              <a:rPr lang="en-US" sz="1100" b="1" baseline="0"/>
              <a:t>  -  446,00 nm</a:t>
            </a:r>
            <a:endParaRPr lang="en-US" sz="1100" b="1"/>
          </a:p>
        </c:rich>
      </c:tx>
      <c:layout>
        <c:manualLayout>
          <c:xMode val="edge"/>
          <c:yMode val="edge"/>
          <c:x val="0.55029449755296844"/>
          <c:y val="0.11505004760176518"/>
        </c:manualLayout>
      </c:layout>
      <c:overlay val="0"/>
    </c:title>
    <c:autoTitleDeleted val="0"/>
    <c:plotArea>
      <c:layout>
        <c:manualLayout>
          <c:layoutTarget val="inner"/>
          <c:xMode val="edge"/>
          <c:yMode val="edge"/>
          <c:x val="8.1508392846243116E-2"/>
          <c:y val="4.5226601867644906E-2"/>
          <c:w val="0.81675531869566498"/>
          <c:h val="0.74801061007957614"/>
        </c:manualLayout>
      </c:layout>
      <c:scatterChart>
        <c:scatterStyle val="smoothMarker"/>
        <c:varyColors val="0"/>
        <c:ser>
          <c:idx val="0"/>
          <c:order val="0"/>
          <c:tx>
            <c:v>Pico 7A</c:v>
          </c:tx>
          <c:spPr>
            <a:ln w="12700">
              <a:solidFill>
                <a:srgbClr val="000080"/>
              </a:solidFill>
              <a:prstDash val="solid"/>
            </a:ln>
          </c:spPr>
          <c:marker>
            <c:symbol val="none"/>
          </c:marker>
          <c:xVal>
            <c:numRef>
              <c:f>'Registro Original'!$AA$2285:$AA$2405</c:f>
              <c:numCache>
                <c:formatCode>0.0</c:formatCode>
                <c:ptCount val="121"/>
                <c:pt idx="0">
                  <c:v>452</c:v>
                </c:pt>
                <c:pt idx="1">
                  <c:v>451.9</c:v>
                </c:pt>
                <c:pt idx="2">
                  <c:v>451.8</c:v>
                </c:pt>
                <c:pt idx="3">
                  <c:v>451.7</c:v>
                </c:pt>
                <c:pt idx="4">
                  <c:v>451.6</c:v>
                </c:pt>
                <c:pt idx="5">
                  <c:v>451.5</c:v>
                </c:pt>
                <c:pt idx="6">
                  <c:v>451.4</c:v>
                </c:pt>
                <c:pt idx="7">
                  <c:v>451.3</c:v>
                </c:pt>
                <c:pt idx="8">
                  <c:v>451.2</c:v>
                </c:pt>
                <c:pt idx="9">
                  <c:v>451.1</c:v>
                </c:pt>
                <c:pt idx="10">
                  <c:v>451</c:v>
                </c:pt>
                <c:pt idx="11">
                  <c:v>450.9</c:v>
                </c:pt>
                <c:pt idx="12">
                  <c:v>450.8</c:v>
                </c:pt>
                <c:pt idx="13">
                  <c:v>450.7</c:v>
                </c:pt>
                <c:pt idx="14">
                  <c:v>450.6</c:v>
                </c:pt>
                <c:pt idx="15">
                  <c:v>450.5</c:v>
                </c:pt>
                <c:pt idx="16">
                  <c:v>450.4</c:v>
                </c:pt>
                <c:pt idx="17">
                  <c:v>450.3</c:v>
                </c:pt>
                <c:pt idx="18">
                  <c:v>450.2</c:v>
                </c:pt>
                <c:pt idx="19">
                  <c:v>450.1</c:v>
                </c:pt>
                <c:pt idx="20">
                  <c:v>450</c:v>
                </c:pt>
                <c:pt idx="21">
                  <c:v>449.9</c:v>
                </c:pt>
                <c:pt idx="22">
                  <c:v>449.8</c:v>
                </c:pt>
                <c:pt idx="23">
                  <c:v>449.7</c:v>
                </c:pt>
                <c:pt idx="24">
                  <c:v>449.6</c:v>
                </c:pt>
                <c:pt idx="25">
                  <c:v>449.5</c:v>
                </c:pt>
                <c:pt idx="26">
                  <c:v>449.4</c:v>
                </c:pt>
                <c:pt idx="27">
                  <c:v>449.3</c:v>
                </c:pt>
                <c:pt idx="28">
                  <c:v>449.2</c:v>
                </c:pt>
                <c:pt idx="29">
                  <c:v>449.1</c:v>
                </c:pt>
                <c:pt idx="30">
                  <c:v>449</c:v>
                </c:pt>
                <c:pt idx="31">
                  <c:v>448.9</c:v>
                </c:pt>
                <c:pt idx="32">
                  <c:v>448.8</c:v>
                </c:pt>
                <c:pt idx="33">
                  <c:v>448.7</c:v>
                </c:pt>
                <c:pt idx="34">
                  <c:v>448.6</c:v>
                </c:pt>
                <c:pt idx="35">
                  <c:v>448.5</c:v>
                </c:pt>
                <c:pt idx="36">
                  <c:v>448.4</c:v>
                </c:pt>
                <c:pt idx="37">
                  <c:v>448.3</c:v>
                </c:pt>
                <c:pt idx="38">
                  <c:v>448.2</c:v>
                </c:pt>
                <c:pt idx="39">
                  <c:v>448.1</c:v>
                </c:pt>
                <c:pt idx="40">
                  <c:v>448</c:v>
                </c:pt>
                <c:pt idx="41">
                  <c:v>447.9</c:v>
                </c:pt>
                <c:pt idx="42">
                  <c:v>447.8</c:v>
                </c:pt>
                <c:pt idx="43">
                  <c:v>447.7</c:v>
                </c:pt>
                <c:pt idx="44">
                  <c:v>447.6</c:v>
                </c:pt>
                <c:pt idx="45">
                  <c:v>447.5</c:v>
                </c:pt>
                <c:pt idx="46">
                  <c:v>447.4</c:v>
                </c:pt>
                <c:pt idx="47">
                  <c:v>447.3</c:v>
                </c:pt>
                <c:pt idx="48">
                  <c:v>447.2</c:v>
                </c:pt>
                <c:pt idx="49">
                  <c:v>447.1</c:v>
                </c:pt>
                <c:pt idx="50">
                  <c:v>447</c:v>
                </c:pt>
                <c:pt idx="51">
                  <c:v>446.9</c:v>
                </c:pt>
                <c:pt idx="52">
                  <c:v>446.8</c:v>
                </c:pt>
                <c:pt idx="53">
                  <c:v>446.7</c:v>
                </c:pt>
                <c:pt idx="54">
                  <c:v>446.6</c:v>
                </c:pt>
                <c:pt idx="55">
                  <c:v>446.5</c:v>
                </c:pt>
                <c:pt idx="56">
                  <c:v>446.4</c:v>
                </c:pt>
                <c:pt idx="57">
                  <c:v>446.3</c:v>
                </c:pt>
                <c:pt idx="58">
                  <c:v>446.2</c:v>
                </c:pt>
                <c:pt idx="59">
                  <c:v>446.1</c:v>
                </c:pt>
                <c:pt idx="60">
                  <c:v>446</c:v>
                </c:pt>
                <c:pt idx="61">
                  <c:v>445.9</c:v>
                </c:pt>
                <c:pt idx="62">
                  <c:v>445.8</c:v>
                </c:pt>
                <c:pt idx="63">
                  <c:v>445.7</c:v>
                </c:pt>
                <c:pt idx="64">
                  <c:v>445.6</c:v>
                </c:pt>
                <c:pt idx="65">
                  <c:v>445.5</c:v>
                </c:pt>
                <c:pt idx="66">
                  <c:v>445.4</c:v>
                </c:pt>
                <c:pt idx="67">
                  <c:v>445.3</c:v>
                </c:pt>
                <c:pt idx="68">
                  <c:v>445.2</c:v>
                </c:pt>
                <c:pt idx="69">
                  <c:v>445.1</c:v>
                </c:pt>
                <c:pt idx="70">
                  <c:v>445</c:v>
                </c:pt>
                <c:pt idx="71">
                  <c:v>444.9</c:v>
                </c:pt>
                <c:pt idx="72">
                  <c:v>444.8</c:v>
                </c:pt>
                <c:pt idx="73">
                  <c:v>444.7</c:v>
                </c:pt>
                <c:pt idx="74">
                  <c:v>444.6</c:v>
                </c:pt>
                <c:pt idx="75">
                  <c:v>444.5</c:v>
                </c:pt>
                <c:pt idx="76">
                  <c:v>444.4</c:v>
                </c:pt>
                <c:pt idx="77">
                  <c:v>444.3</c:v>
                </c:pt>
                <c:pt idx="78">
                  <c:v>444.2</c:v>
                </c:pt>
                <c:pt idx="79">
                  <c:v>444.1</c:v>
                </c:pt>
                <c:pt idx="80">
                  <c:v>444</c:v>
                </c:pt>
                <c:pt idx="81">
                  <c:v>443.9</c:v>
                </c:pt>
                <c:pt idx="82">
                  <c:v>443.8</c:v>
                </c:pt>
                <c:pt idx="83">
                  <c:v>443.7</c:v>
                </c:pt>
                <c:pt idx="84">
                  <c:v>443.6</c:v>
                </c:pt>
                <c:pt idx="85">
                  <c:v>443.5</c:v>
                </c:pt>
                <c:pt idx="86">
                  <c:v>443.4</c:v>
                </c:pt>
                <c:pt idx="87">
                  <c:v>443.3</c:v>
                </c:pt>
                <c:pt idx="88">
                  <c:v>443.2</c:v>
                </c:pt>
                <c:pt idx="89">
                  <c:v>443.1</c:v>
                </c:pt>
                <c:pt idx="90">
                  <c:v>443</c:v>
                </c:pt>
                <c:pt idx="91">
                  <c:v>442.9</c:v>
                </c:pt>
                <c:pt idx="92">
                  <c:v>442.8</c:v>
                </c:pt>
                <c:pt idx="93">
                  <c:v>442.7</c:v>
                </c:pt>
                <c:pt idx="94">
                  <c:v>442.6</c:v>
                </c:pt>
                <c:pt idx="95">
                  <c:v>442.5</c:v>
                </c:pt>
                <c:pt idx="96">
                  <c:v>442.4</c:v>
                </c:pt>
                <c:pt idx="97">
                  <c:v>442.3</c:v>
                </c:pt>
                <c:pt idx="98">
                  <c:v>442.2</c:v>
                </c:pt>
                <c:pt idx="99">
                  <c:v>442.1</c:v>
                </c:pt>
                <c:pt idx="100">
                  <c:v>442</c:v>
                </c:pt>
                <c:pt idx="101">
                  <c:v>441.9</c:v>
                </c:pt>
                <c:pt idx="102">
                  <c:v>441.8</c:v>
                </c:pt>
                <c:pt idx="103">
                  <c:v>441.7</c:v>
                </c:pt>
                <c:pt idx="104">
                  <c:v>441.6</c:v>
                </c:pt>
                <c:pt idx="105">
                  <c:v>441.5</c:v>
                </c:pt>
                <c:pt idx="106">
                  <c:v>441.4</c:v>
                </c:pt>
                <c:pt idx="107">
                  <c:v>441.3</c:v>
                </c:pt>
                <c:pt idx="108">
                  <c:v>441.2</c:v>
                </c:pt>
                <c:pt idx="109">
                  <c:v>441.1</c:v>
                </c:pt>
                <c:pt idx="110">
                  <c:v>441</c:v>
                </c:pt>
                <c:pt idx="111">
                  <c:v>440.9</c:v>
                </c:pt>
                <c:pt idx="112">
                  <c:v>440.8</c:v>
                </c:pt>
                <c:pt idx="113">
                  <c:v>440.7</c:v>
                </c:pt>
                <c:pt idx="114">
                  <c:v>440.6</c:v>
                </c:pt>
                <c:pt idx="115">
                  <c:v>440.5</c:v>
                </c:pt>
                <c:pt idx="116">
                  <c:v>440.4</c:v>
                </c:pt>
                <c:pt idx="117">
                  <c:v>440.3</c:v>
                </c:pt>
                <c:pt idx="118">
                  <c:v>440.2</c:v>
                </c:pt>
                <c:pt idx="119">
                  <c:v>440.1</c:v>
                </c:pt>
                <c:pt idx="120">
                  <c:v>440</c:v>
                </c:pt>
              </c:numCache>
            </c:numRef>
          </c:xVal>
          <c:yVal>
            <c:numRef>
              <c:f>'Registro Original'!$AC$2285:$AC$2405</c:f>
              <c:numCache>
                <c:formatCode>0.0000</c:formatCode>
                <c:ptCount val="121"/>
                <c:pt idx="0">
                  <c:v>0.87683462909708065</c:v>
                </c:pt>
                <c:pt idx="1">
                  <c:v>0.85579953981612089</c:v>
                </c:pt>
                <c:pt idx="2">
                  <c:v>0.83457759918543017</c:v>
                </c:pt>
                <c:pt idx="3">
                  <c:v>0.81440118941768547</c:v>
                </c:pt>
                <c:pt idx="4">
                  <c:v>0.79506647764585514</c:v>
                </c:pt>
                <c:pt idx="5">
                  <c:v>0.77658194309470574</c:v>
                </c:pt>
                <c:pt idx="6">
                  <c:v>0.75885213758830028</c:v>
                </c:pt>
                <c:pt idx="7">
                  <c:v>0.74277755381242594</c:v>
                </c:pt>
                <c:pt idx="8">
                  <c:v>0.72808872614010434</c:v>
                </c:pt>
                <c:pt idx="9">
                  <c:v>0.71500561327700551</c:v>
                </c:pt>
                <c:pt idx="10">
                  <c:v>0.70403726760597707</c:v>
                </c:pt>
                <c:pt idx="11">
                  <c:v>0.69531563402561392</c:v>
                </c:pt>
                <c:pt idx="12">
                  <c:v>0.68833088759938899</c:v>
                </c:pt>
                <c:pt idx="13">
                  <c:v>0.68392476516160317</c:v>
                </c:pt>
                <c:pt idx="14">
                  <c:v>0.68137328297003319</c:v>
                </c:pt>
                <c:pt idx="15">
                  <c:v>0.68181140584820399</c:v>
                </c:pt>
                <c:pt idx="16">
                  <c:v>0.68470154712637588</c:v>
                </c:pt>
                <c:pt idx="17">
                  <c:v>0.69011444033980618</c:v>
                </c:pt>
                <c:pt idx="18">
                  <c:v>0.69827568846966437</c:v>
                </c:pt>
                <c:pt idx="19">
                  <c:v>0.70931999458213713</c:v>
                </c:pt>
                <c:pt idx="20">
                  <c:v>0.72344629137568739</c:v>
                </c:pt>
                <c:pt idx="21">
                  <c:v>0.74109944321639165</c:v>
                </c:pt>
                <c:pt idx="22">
                  <c:v>0.76095090685980848</c:v>
                </c:pt>
                <c:pt idx="23">
                  <c:v>0.78412460453872435</c:v>
                </c:pt>
                <c:pt idx="24">
                  <c:v>0.80843721240827393</c:v>
                </c:pt>
                <c:pt idx="25">
                  <c:v>0.83821288125447668</c:v>
                </c:pt>
                <c:pt idx="26">
                  <c:v>0.87047122614122363</c:v>
                </c:pt>
                <c:pt idx="27">
                  <c:v>0.90538913696786305</c:v>
                </c:pt>
                <c:pt idx="28">
                  <c:v>0.94336190262034747</c:v>
                </c:pt>
                <c:pt idx="29">
                  <c:v>0.98585763845499419</c:v>
                </c:pt>
                <c:pt idx="30">
                  <c:v>1.0308870810983355</c:v>
                </c:pt>
                <c:pt idx="31">
                  <c:v>1.0801011868122743</c:v>
                </c:pt>
                <c:pt idx="32">
                  <c:v>1.1307682802690238</c:v>
                </c:pt>
                <c:pt idx="33">
                  <c:v>1.1872470278540381</c:v>
                </c:pt>
                <c:pt idx="34">
                  <c:v>1.2457510740504749</c:v>
                </c:pt>
                <c:pt idx="35">
                  <c:v>1.3084764778318456</c:v>
                </c:pt>
                <c:pt idx="36">
                  <c:v>1.3684446275870961</c:v>
                </c:pt>
                <c:pt idx="37">
                  <c:v>1.4334918007553767</c:v>
                </c:pt>
                <c:pt idx="38">
                  <c:v>1.4976548301020269</c:v>
                </c:pt>
                <c:pt idx="39">
                  <c:v>1.5670307091255944</c:v>
                </c:pt>
                <c:pt idx="40">
                  <c:v>1.6375740776913696</c:v>
                </c:pt>
                <c:pt idx="41">
                  <c:v>1.7069690943935629</c:v>
                </c:pt>
                <c:pt idx="42">
                  <c:v>1.7757778139153513</c:v>
                </c:pt>
                <c:pt idx="43">
                  <c:v>1.8456977803153356</c:v>
                </c:pt>
                <c:pt idx="44">
                  <c:v>1.9164615487698604</c:v>
                </c:pt>
                <c:pt idx="45">
                  <c:v>1.9848918393541628</c:v>
                </c:pt>
                <c:pt idx="46">
                  <c:v>2.0527918168715042</c:v>
                </c:pt>
                <c:pt idx="47">
                  <c:v>2.1214724599007826</c:v>
                </c:pt>
                <c:pt idx="48">
                  <c:v>2.1896868155993525</c:v>
                </c:pt>
                <c:pt idx="49">
                  <c:v>2.2618618480286252</c:v>
                </c:pt>
                <c:pt idx="50">
                  <c:v>2.3254603377703189</c:v>
                </c:pt>
                <c:pt idx="51">
                  <c:v>2.3938982213137261</c:v>
                </c:pt>
                <c:pt idx="52">
                  <c:v>2.4625965158419918</c:v>
                </c:pt>
                <c:pt idx="53">
                  <c:v>2.5357937156562156</c:v>
                </c:pt>
                <c:pt idx="54">
                  <c:v>2.6061792046591328</c:v>
                </c:pt>
                <c:pt idx="55">
                  <c:v>2.6786294423391848</c:v>
                </c:pt>
                <c:pt idx="56">
                  <c:v>2.7524194937661637</c:v>
                </c:pt>
                <c:pt idx="57">
                  <c:v>2.8235325154008661</c:v>
                </c:pt>
                <c:pt idx="58">
                  <c:v>2.8922475012598374</c:v>
                </c:pt>
                <c:pt idx="59">
                  <c:v>2.9579366505678437</c:v>
                </c:pt>
                <c:pt idx="60">
                  <c:v>3.0194694285367327</c:v>
                </c:pt>
                <c:pt idx="61">
                  <c:v>3.0663861879022121</c:v>
                </c:pt>
                <c:pt idx="62">
                  <c:v>3.1019058810406559</c:v>
                </c:pt>
                <c:pt idx="63">
                  <c:v>3.1182274478511118</c:v>
                </c:pt>
                <c:pt idx="64">
                  <c:v>3.1205428368341108</c:v>
                </c:pt>
                <c:pt idx="65">
                  <c:v>3.1074045771711019</c:v>
                </c:pt>
                <c:pt idx="66">
                  <c:v>3.0551276247464236</c:v>
                </c:pt>
                <c:pt idx="67">
                  <c:v>2.9895304302036081</c:v>
                </c:pt>
                <c:pt idx="68">
                  <c:v>2.9032637395375311</c:v>
                </c:pt>
                <c:pt idx="69">
                  <c:v>2.7992589097648741</c:v>
                </c:pt>
                <c:pt idx="70">
                  <c:v>2.681686182776001</c:v>
                </c:pt>
                <c:pt idx="71">
                  <c:v>2.5493352767478479</c:v>
                </c:pt>
                <c:pt idx="72">
                  <c:v>2.4150358908794094</c:v>
                </c:pt>
                <c:pt idx="73">
                  <c:v>2.2777528375203495</c:v>
                </c:pt>
                <c:pt idx="74">
                  <c:v>2.1393087113045568</c:v>
                </c:pt>
                <c:pt idx="75">
                  <c:v>2.0027097477565556</c:v>
                </c:pt>
                <c:pt idx="76">
                  <c:v>1.8647719097739446</c:v>
                </c:pt>
                <c:pt idx="77">
                  <c:v>1.7460081371878289</c:v>
                </c:pt>
                <c:pt idx="78">
                  <c:v>1.6213296147920171</c:v>
                </c:pt>
                <c:pt idx="79">
                  <c:v>1.5034439505037052</c:v>
                </c:pt>
                <c:pt idx="80">
                  <c:v>1.3905123101467147</c:v>
                </c:pt>
                <c:pt idx="81">
                  <c:v>1.2861987577072065</c:v>
                </c:pt>
                <c:pt idx="82">
                  <c:v>1.1873940990261029</c:v>
                </c:pt>
                <c:pt idx="83">
                  <c:v>1.092669270685602</c:v>
                </c:pt>
                <c:pt idx="84">
                  <c:v>1.0053265816135917</c:v>
                </c:pt>
                <c:pt idx="85">
                  <c:v>0.92841252948502373</c:v>
                </c:pt>
                <c:pt idx="86">
                  <c:v>0.85645437276157799</c:v>
                </c:pt>
                <c:pt idx="87">
                  <c:v>0.78720001937443296</c:v>
                </c:pt>
                <c:pt idx="88">
                  <c:v>0.72471168556439836</c:v>
                </c:pt>
                <c:pt idx="89">
                  <c:v>0.66735958961253738</c:v>
                </c:pt>
                <c:pt idx="90">
                  <c:v>0.61819925749529703</c:v>
                </c:pt>
                <c:pt idx="91">
                  <c:v>0.57133076934781146</c:v>
                </c:pt>
                <c:pt idx="92">
                  <c:v>0.52913398872587525</c:v>
                </c:pt>
                <c:pt idx="93">
                  <c:v>0.48953542214511386</c:v>
                </c:pt>
                <c:pt idx="94">
                  <c:v>0.45468051064826454</c:v>
                </c:pt>
                <c:pt idx="95">
                  <c:v>0.42316358292931389</c:v>
                </c:pt>
                <c:pt idx="96">
                  <c:v>0.39524490535516743</c:v>
                </c:pt>
                <c:pt idx="97">
                  <c:v>0.37026429276714462</c:v>
                </c:pt>
                <c:pt idx="98">
                  <c:v>0.34788909487300318</c:v>
                </c:pt>
                <c:pt idx="99">
                  <c:v>0.32834590349448295</c:v>
                </c:pt>
                <c:pt idx="100">
                  <c:v>0.30999895311693626</c:v>
                </c:pt>
                <c:pt idx="101">
                  <c:v>0.293563875143665</c:v>
                </c:pt>
                <c:pt idx="102">
                  <c:v>0.27897297506281621</c:v>
                </c:pt>
                <c:pt idx="103">
                  <c:v>0.26619306357115874</c:v>
                </c:pt>
                <c:pt idx="104">
                  <c:v>0.25499551357475675</c:v>
                </c:pt>
                <c:pt idx="105">
                  <c:v>0.24393470605131379</c:v>
                </c:pt>
                <c:pt idx="106">
                  <c:v>0.23402613108058976</c:v>
                </c:pt>
                <c:pt idx="107">
                  <c:v>0.22481932659337192</c:v>
                </c:pt>
                <c:pt idx="108">
                  <c:v>0.21666823711257607</c:v>
                </c:pt>
                <c:pt idx="109">
                  <c:v>0.20906071962895256</c:v>
                </c:pt>
                <c:pt idx="110">
                  <c:v>0.20218560641139524</c:v>
                </c:pt>
                <c:pt idx="111">
                  <c:v>0.19583329728180152</c:v>
                </c:pt>
                <c:pt idx="112">
                  <c:v>0.18994231063423717</c:v>
                </c:pt>
                <c:pt idx="113">
                  <c:v>0.18430273753052953</c:v>
                </c:pt>
                <c:pt idx="114">
                  <c:v>0.17862405272340315</c:v>
                </c:pt>
                <c:pt idx="115">
                  <c:v>0.1736141723525525</c:v>
                </c:pt>
                <c:pt idx="116">
                  <c:v>0.16905865038292456</c:v>
                </c:pt>
                <c:pt idx="117">
                  <c:v>0.16470903641910001</c:v>
                </c:pt>
                <c:pt idx="118">
                  <c:v>0.16054709341031195</c:v>
                </c:pt>
                <c:pt idx="119">
                  <c:v>0.15652428434168264</c:v>
                </c:pt>
                <c:pt idx="120">
                  <c:v>0.15264330799716039</c:v>
                </c:pt>
              </c:numCache>
            </c:numRef>
          </c:yVal>
          <c:smooth val="1"/>
          <c:extLst>
            <c:ext xmlns:c16="http://schemas.microsoft.com/office/drawing/2014/chart" uri="{C3380CC4-5D6E-409C-BE32-E72D297353CC}">
              <c16:uniqueId val="{00000000-09A2-4EF2-B191-B1AA10BCD17E}"/>
            </c:ext>
          </c:extLst>
        </c:ser>
        <c:ser>
          <c:idx val="1"/>
          <c:order val="1"/>
          <c:tx>
            <c:v>Pico 7A - CAL1</c:v>
          </c:tx>
          <c:spPr>
            <a:ln>
              <a:solidFill>
                <a:srgbClr val="FF0000"/>
              </a:solidFill>
            </a:ln>
          </c:spPr>
          <c:marker>
            <c:symbol val="none"/>
          </c:marker>
          <c:xVal>
            <c:numRef>
              <c:f>'Registro Original'!$B$152:$B$176</c:f>
              <c:numCache>
                <c:formatCode>0.0</c:formatCode>
                <c:ptCount val="25"/>
                <c:pt idx="0">
                  <c:v>458</c:v>
                </c:pt>
                <c:pt idx="1">
                  <c:v>457</c:v>
                </c:pt>
                <c:pt idx="2">
                  <c:v>456</c:v>
                </c:pt>
                <c:pt idx="3">
                  <c:v>455</c:v>
                </c:pt>
                <c:pt idx="4">
                  <c:v>454</c:v>
                </c:pt>
                <c:pt idx="5">
                  <c:v>453</c:v>
                </c:pt>
                <c:pt idx="6">
                  <c:v>452</c:v>
                </c:pt>
                <c:pt idx="7">
                  <c:v>451</c:v>
                </c:pt>
                <c:pt idx="8">
                  <c:v>450</c:v>
                </c:pt>
                <c:pt idx="9">
                  <c:v>449</c:v>
                </c:pt>
                <c:pt idx="10">
                  <c:v>448</c:v>
                </c:pt>
                <c:pt idx="11">
                  <c:v>447</c:v>
                </c:pt>
                <c:pt idx="12">
                  <c:v>446</c:v>
                </c:pt>
                <c:pt idx="13">
                  <c:v>445</c:v>
                </c:pt>
                <c:pt idx="14">
                  <c:v>444</c:v>
                </c:pt>
                <c:pt idx="15">
                  <c:v>443</c:v>
                </c:pt>
                <c:pt idx="16">
                  <c:v>442</c:v>
                </c:pt>
                <c:pt idx="17">
                  <c:v>441</c:v>
                </c:pt>
                <c:pt idx="18">
                  <c:v>440</c:v>
                </c:pt>
                <c:pt idx="19">
                  <c:v>439</c:v>
                </c:pt>
                <c:pt idx="20">
                  <c:v>438</c:v>
                </c:pt>
                <c:pt idx="21">
                  <c:v>437</c:v>
                </c:pt>
                <c:pt idx="22">
                  <c:v>436</c:v>
                </c:pt>
                <c:pt idx="23">
                  <c:v>435</c:v>
                </c:pt>
                <c:pt idx="24">
                  <c:v>434</c:v>
                </c:pt>
              </c:numCache>
            </c:numRef>
          </c:xVal>
          <c:yVal>
            <c:numRef>
              <c:f>'Registro Original'!$C$152:$C$176</c:f>
              <c:numCache>
                <c:formatCode>0.000</c:formatCode>
                <c:ptCount val="25"/>
                <c:pt idx="5">
                  <c:v>0.68</c:v>
                </c:pt>
                <c:pt idx="6">
                  <c:v>0.66400000000000003</c:v>
                </c:pt>
                <c:pt idx="7">
                  <c:v>0.68100000000000005</c:v>
                </c:pt>
                <c:pt idx="8">
                  <c:v>0.745</c:v>
                </c:pt>
                <c:pt idx="9">
                  <c:v>0.85399999999999998</c:v>
                </c:pt>
                <c:pt idx="10">
                  <c:v>1.038</c:v>
                </c:pt>
                <c:pt idx="11">
                  <c:v>1.125</c:v>
                </c:pt>
                <c:pt idx="12">
                  <c:v>1.0089999999999999</c:v>
                </c:pt>
                <c:pt idx="13">
                  <c:v>0.69299999999999995</c:v>
                </c:pt>
                <c:pt idx="14">
                  <c:v>0.48499999999999999</c:v>
                </c:pt>
                <c:pt idx="15">
                  <c:v>0.33200000000000002</c:v>
                </c:pt>
                <c:pt idx="16">
                  <c:v>0.20699999999999999</c:v>
                </c:pt>
                <c:pt idx="17">
                  <c:v>0.14799999999999999</c:v>
                </c:pt>
                <c:pt idx="18">
                  <c:v>0.112</c:v>
                </c:pt>
              </c:numCache>
            </c:numRef>
          </c:yVal>
          <c:smooth val="1"/>
          <c:extLst>
            <c:ext xmlns:c16="http://schemas.microsoft.com/office/drawing/2014/chart" uri="{C3380CC4-5D6E-409C-BE32-E72D297353CC}">
              <c16:uniqueId val="{00000001-09A2-4EF2-B191-B1AA10BCD17E}"/>
            </c:ext>
          </c:extLst>
        </c:ser>
        <c:ser>
          <c:idx val="2"/>
          <c:order val="2"/>
          <c:tx>
            <c:v>Pico 7A - Largura de banda</c:v>
          </c:tx>
          <c:spPr>
            <a:ln w="15875">
              <a:solidFill>
                <a:srgbClr val="FFC000"/>
              </a:solidFill>
            </a:ln>
          </c:spPr>
          <c:marker>
            <c:symbol val="none"/>
          </c:marker>
          <c:xVal>
            <c:numRef>
              <c:f>'Registro Original'!$AE$154:$CM$154</c:f>
              <c:numCache>
                <c:formatCode>0.0</c:formatCode>
                <c:ptCount val="61"/>
                <c:pt idx="0">
                  <c:v>440</c:v>
                </c:pt>
                <c:pt idx="1">
                  <c:v>440.2</c:v>
                </c:pt>
                <c:pt idx="2">
                  <c:v>440.4</c:v>
                </c:pt>
                <c:pt idx="3">
                  <c:v>440.59999999999997</c:v>
                </c:pt>
                <c:pt idx="4">
                  <c:v>440.79999999999995</c:v>
                </c:pt>
                <c:pt idx="5">
                  <c:v>440.99999999999994</c:v>
                </c:pt>
                <c:pt idx="6">
                  <c:v>441.19999999999993</c:v>
                </c:pt>
                <c:pt idx="7">
                  <c:v>441.39999999999992</c:v>
                </c:pt>
                <c:pt idx="8">
                  <c:v>441.59999999999991</c:v>
                </c:pt>
                <c:pt idx="9">
                  <c:v>441.7999999999999</c:v>
                </c:pt>
                <c:pt idx="10">
                  <c:v>441.99999999999989</c:v>
                </c:pt>
                <c:pt idx="11">
                  <c:v>442.19999999999987</c:v>
                </c:pt>
                <c:pt idx="12">
                  <c:v>442.39999999999986</c:v>
                </c:pt>
                <c:pt idx="13">
                  <c:v>442.59999999999985</c:v>
                </c:pt>
                <c:pt idx="14">
                  <c:v>442.79999999999984</c:v>
                </c:pt>
                <c:pt idx="15">
                  <c:v>442.99999999999983</c:v>
                </c:pt>
                <c:pt idx="16">
                  <c:v>443.19999999999982</c:v>
                </c:pt>
                <c:pt idx="17">
                  <c:v>443.39999999999981</c:v>
                </c:pt>
                <c:pt idx="18">
                  <c:v>443.5999999999998</c:v>
                </c:pt>
                <c:pt idx="19">
                  <c:v>443.79999999999978</c:v>
                </c:pt>
                <c:pt idx="20">
                  <c:v>443.99999999999977</c:v>
                </c:pt>
                <c:pt idx="21">
                  <c:v>444.19999999999976</c:v>
                </c:pt>
                <c:pt idx="22">
                  <c:v>444.39999999999975</c:v>
                </c:pt>
                <c:pt idx="23">
                  <c:v>444.59999999999974</c:v>
                </c:pt>
                <c:pt idx="24">
                  <c:v>444.79999999999973</c:v>
                </c:pt>
                <c:pt idx="25">
                  <c:v>444.99999999999972</c:v>
                </c:pt>
                <c:pt idx="26">
                  <c:v>445.1999999999997</c:v>
                </c:pt>
                <c:pt idx="27">
                  <c:v>445.39999999999969</c:v>
                </c:pt>
                <c:pt idx="28">
                  <c:v>445.59999999999968</c:v>
                </c:pt>
                <c:pt idx="29">
                  <c:v>445.79999999999967</c:v>
                </c:pt>
                <c:pt idx="30">
                  <c:v>445.99999999999966</c:v>
                </c:pt>
                <c:pt idx="31">
                  <c:v>446.19999999999965</c:v>
                </c:pt>
                <c:pt idx="32">
                  <c:v>446.39999999999964</c:v>
                </c:pt>
                <c:pt idx="33">
                  <c:v>446.59999999999962</c:v>
                </c:pt>
                <c:pt idx="34">
                  <c:v>446.79999999999961</c:v>
                </c:pt>
                <c:pt idx="35">
                  <c:v>446.9999999999996</c:v>
                </c:pt>
                <c:pt idx="36">
                  <c:v>447.19999999999959</c:v>
                </c:pt>
                <c:pt idx="37">
                  <c:v>447.39999999999958</c:v>
                </c:pt>
                <c:pt idx="38">
                  <c:v>447.59999999999957</c:v>
                </c:pt>
                <c:pt idx="39">
                  <c:v>447.79999999999956</c:v>
                </c:pt>
                <c:pt idx="40">
                  <c:v>447.99999999999955</c:v>
                </c:pt>
                <c:pt idx="41">
                  <c:v>448.19999999999953</c:v>
                </c:pt>
                <c:pt idx="42">
                  <c:v>448.39999999999952</c:v>
                </c:pt>
                <c:pt idx="43">
                  <c:v>448.59999999999951</c:v>
                </c:pt>
                <c:pt idx="44">
                  <c:v>448.7999999999995</c:v>
                </c:pt>
                <c:pt idx="45">
                  <c:v>448.99999999999949</c:v>
                </c:pt>
                <c:pt idx="46">
                  <c:v>449.19999999999948</c:v>
                </c:pt>
                <c:pt idx="47">
                  <c:v>449.39999999999947</c:v>
                </c:pt>
                <c:pt idx="48">
                  <c:v>449.59999999999945</c:v>
                </c:pt>
                <c:pt idx="49">
                  <c:v>449.79999999999944</c:v>
                </c:pt>
                <c:pt idx="50">
                  <c:v>449.99999999999943</c:v>
                </c:pt>
                <c:pt idx="51">
                  <c:v>450.19999999999942</c:v>
                </c:pt>
                <c:pt idx="52">
                  <c:v>450.39999999999941</c:v>
                </c:pt>
                <c:pt idx="53">
                  <c:v>450.5999999999994</c:v>
                </c:pt>
                <c:pt idx="54">
                  <c:v>450.79999999999939</c:v>
                </c:pt>
                <c:pt idx="55">
                  <c:v>450.99999999999937</c:v>
                </c:pt>
                <c:pt idx="56">
                  <c:v>451.19999999999936</c:v>
                </c:pt>
                <c:pt idx="57">
                  <c:v>451.39999999999935</c:v>
                </c:pt>
                <c:pt idx="58">
                  <c:v>451.59999999999934</c:v>
                </c:pt>
                <c:pt idx="59">
                  <c:v>451.79999999999933</c:v>
                </c:pt>
                <c:pt idx="60">
                  <c:v>451.99999999999932</c:v>
                </c:pt>
              </c:numCache>
            </c:numRef>
          </c:xVal>
          <c:yVal>
            <c:numRef>
              <c:f>'Registro Original'!$AE$155:$CM$155</c:f>
              <c:numCache>
                <c:formatCode>0.0000</c:formatCode>
                <c:ptCount val="61"/>
                <c:pt idx="0">
                  <c:v>1.9009499999999999</c:v>
                </c:pt>
                <c:pt idx="1">
                  <c:v>1.9009499999999999</c:v>
                </c:pt>
                <c:pt idx="2">
                  <c:v>1.9009499999999999</c:v>
                </c:pt>
                <c:pt idx="3">
                  <c:v>1.9009499999999999</c:v>
                </c:pt>
                <c:pt idx="4">
                  <c:v>1.9009499999999999</c:v>
                </c:pt>
                <c:pt idx="5">
                  <c:v>1.9009499999999999</c:v>
                </c:pt>
                <c:pt idx="6">
                  <c:v>1.9009499999999999</c:v>
                </c:pt>
                <c:pt idx="7">
                  <c:v>1.9009499999999999</c:v>
                </c:pt>
                <c:pt idx="8">
                  <c:v>1.9009499999999999</c:v>
                </c:pt>
                <c:pt idx="9">
                  <c:v>1.9009499999999999</c:v>
                </c:pt>
                <c:pt idx="10">
                  <c:v>1.9009499999999999</c:v>
                </c:pt>
                <c:pt idx="11">
                  <c:v>1.9009499999999999</c:v>
                </c:pt>
                <c:pt idx="12">
                  <c:v>1.9009499999999999</c:v>
                </c:pt>
                <c:pt idx="13">
                  <c:v>1.9009499999999999</c:v>
                </c:pt>
                <c:pt idx="14">
                  <c:v>1.9009499999999999</c:v>
                </c:pt>
                <c:pt idx="15">
                  <c:v>1.9009499999999999</c:v>
                </c:pt>
                <c:pt idx="16">
                  <c:v>1.9009499999999999</c:v>
                </c:pt>
                <c:pt idx="17">
                  <c:v>1.9009499999999999</c:v>
                </c:pt>
                <c:pt idx="18">
                  <c:v>1.9009499999999999</c:v>
                </c:pt>
                <c:pt idx="19">
                  <c:v>1.9009499999999999</c:v>
                </c:pt>
                <c:pt idx="20">
                  <c:v>1.9009499999999999</c:v>
                </c:pt>
                <c:pt idx="21">
                  <c:v>1.9009499999999999</c:v>
                </c:pt>
                <c:pt idx="22">
                  <c:v>1.9009499999999999</c:v>
                </c:pt>
                <c:pt idx="23">
                  <c:v>1.9009499999999999</c:v>
                </c:pt>
                <c:pt idx="24">
                  <c:v>1.9009499999999999</c:v>
                </c:pt>
                <c:pt idx="25">
                  <c:v>1.9009499999999999</c:v>
                </c:pt>
                <c:pt idx="26">
                  <c:v>1.9009499999999999</c:v>
                </c:pt>
                <c:pt idx="27">
                  <c:v>1.9009499999999999</c:v>
                </c:pt>
                <c:pt idx="28">
                  <c:v>1.9009499999999999</c:v>
                </c:pt>
                <c:pt idx="29">
                  <c:v>1.9009499999999999</c:v>
                </c:pt>
                <c:pt idx="30">
                  <c:v>1.9009499999999999</c:v>
                </c:pt>
                <c:pt idx="31">
                  <c:v>1.9009499999999999</c:v>
                </c:pt>
                <c:pt idx="32">
                  <c:v>1.9009499999999999</c:v>
                </c:pt>
                <c:pt idx="33">
                  <c:v>1.9009499999999999</c:v>
                </c:pt>
                <c:pt idx="34">
                  <c:v>1.9009499999999999</c:v>
                </c:pt>
                <c:pt idx="35">
                  <c:v>1.9009499999999999</c:v>
                </c:pt>
                <c:pt idx="36">
                  <c:v>1.9009499999999999</c:v>
                </c:pt>
                <c:pt idx="37">
                  <c:v>1.9009499999999999</c:v>
                </c:pt>
                <c:pt idx="38">
                  <c:v>1.9009499999999999</c:v>
                </c:pt>
                <c:pt idx="39">
                  <c:v>1.9009499999999999</c:v>
                </c:pt>
                <c:pt idx="40">
                  <c:v>1.9009499999999999</c:v>
                </c:pt>
                <c:pt idx="41">
                  <c:v>1.9009499999999999</c:v>
                </c:pt>
                <c:pt idx="42">
                  <c:v>1.9009499999999999</c:v>
                </c:pt>
                <c:pt idx="43">
                  <c:v>1.9009499999999999</c:v>
                </c:pt>
                <c:pt idx="44">
                  <c:v>1.9009499999999999</c:v>
                </c:pt>
                <c:pt idx="45">
                  <c:v>1.9009499999999999</c:v>
                </c:pt>
                <c:pt idx="46">
                  <c:v>1.9009499999999999</c:v>
                </c:pt>
                <c:pt idx="47">
                  <c:v>1.9009499999999999</c:v>
                </c:pt>
                <c:pt idx="48">
                  <c:v>1.9009499999999999</c:v>
                </c:pt>
                <c:pt idx="49">
                  <c:v>1.9009499999999999</c:v>
                </c:pt>
                <c:pt idx="50">
                  <c:v>1.9009499999999999</c:v>
                </c:pt>
                <c:pt idx="51">
                  <c:v>1.9009499999999999</c:v>
                </c:pt>
                <c:pt idx="52">
                  <c:v>1.9009499999999999</c:v>
                </c:pt>
                <c:pt idx="53">
                  <c:v>1.9009499999999999</c:v>
                </c:pt>
                <c:pt idx="54">
                  <c:v>1.9009499999999999</c:v>
                </c:pt>
                <c:pt idx="55">
                  <c:v>1.9009499999999999</c:v>
                </c:pt>
                <c:pt idx="56">
                  <c:v>1.9009499999999999</c:v>
                </c:pt>
                <c:pt idx="57">
                  <c:v>1.9009499999999999</c:v>
                </c:pt>
                <c:pt idx="58">
                  <c:v>1.9009499999999999</c:v>
                </c:pt>
                <c:pt idx="59">
                  <c:v>1.9009499999999999</c:v>
                </c:pt>
                <c:pt idx="60">
                  <c:v>1.9009499999999999</c:v>
                </c:pt>
              </c:numCache>
            </c:numRef>
          </c:yVal>
          <c:smooth val="1"/>
          <c:extLst>
            <c:ext xmlns:c16="http://schemas.microsoft.com/office/drawing/2014/chart" uri="{C3380CC4-5D6E-409C-BE32-E72D297353CC}">
              <c16:uniqueId val="{00000002-09A2-4EF2-B191-B1AA10BCD17E}"/>
            </c:ext>
          </c:extLst>
        </c:ser>
        <c:ser>
          <c:idx val="3"/>
          <c:order val="3"/>
          <c:tx>
            <c:v>Pico 7A - CAL2</c:v>
          </c:tx>
          <c:spPr>
            <a:ln>
              <a:solidFill>
                <a:srgbClr val="00B050"/>
              </a:solidFill>
            </a:ln>
          </c:spPr>
          <c:marker>
            <c:symbol val="none"/>
          </c:marker>
          <c:xVal>
            <c:numRef>
              <c:f>'Registro Original'!$E$152:$E$176</c:f>
              <c:numCache>
                <c:formatCode>0.0</c:formatCode>
                <c:ptCount val="25"/>
                <c:pt idx="0">
                  <c:v>452</c:v>
                </c:pt>
                <c:pt idx="1">
                  <c:v>451.5</c:v>
                </c:pt>
                <c:pt idx="2">
                  <c:v>451</c:v>
                </c:pt>
                <c:pt idx="3">
                  <c:v>450.5</c:v>
                </c:pt>
                <c:pt idx="4">
                  <c:v>450</c:v>
                </c:pt>
                <c:pt idx="5">
                  <c:v>449.5</c:v>
                </c:pt>
                <c:pt idx="6">
                  <c:v>449</c:v>
                </c:pt>
                <c:pt idx="7">
                  <c:v>448.5</c:v>
                </c:pt>
                <c:pt idx="8">
                  <c:v>448</c:v>
                </c:pt>
                <c:pt idx="9">
                  <c:v>447.5</c:v>
                </c:pt>
                <c:pt idx="10">
                  <c:v>447</c:v>
                </c:pt>
                <c:pt idx="11">
                  <c:v>446.5</c:v>
                </c:pt>
                <c:pt idx="12">
                  <c:v>446</c:v>
                </c:pt>
                <c:pt idx="13">
                  <c:v>445.5</c:v>
                </c:pt>
                <c:pt idx="14">
                  <c:v>445</c:v>
                </c:pt>
                <c:pt idx="15">
                  <c:v>444.5</c:v>
                </c:pt>
                <c:pt idx="16">
                  <c:v>444</c:v>
                </c:pt>
                <c:pt idx="17">
                  <c:v>443.5</c:v>
                </c:pt>
                <c:pt idx="18">
                  <c:v>443</c:v>
                </c:pt>
                <c:pt idx="19">
                  <c:v>442.5</c:v>
                </c:pt>
                <c:pt idx="20">
                  <c:v>442</c:v>
                </c:pt>
                <c:pt idx="21">
                  <c:v>441.5</c:v>
                </c:pt>
                <c:pt idx="22">
                  <c:v>441</c:v>
                </c:pt>
                <c:pt idx="23">
                  <c:v>440.5</c:v>
                </c:pt>
                <c:pt idx="24">
                  <c:v>440</c:v>
                </c:pt>
              </c:numCache>
            </c:numRef>
          </c:xVal>
          <c:yVal>
            <c:numRef>
              <c:f>'Registro Original'!$F$152:$F$176</c:f>
              <c:numCache>
                <c:formatCode>General</c:formatCode>
                <c:ptCount val="25"/>
                <c:pt idx="5">
                  <c:v>0.67500000000000004</c:v>
                </c:pt>
                <c:pt idx="6">
                  <c:v>0.66400000000000003</c:v>
                </c:pt>
                <c:pt idx="7">
                  <c:v>0.69499999999999995</c:v>
                </c:pt>
                <c:pt idx="8">
                  <c:v>0.77200000000000002</c:v>
                </c:pt>
                <c:pt idx="9">
                  <c:v>0.89400000000000002</c:v>
                </c:pt>
                <c:pt idx="10">
                  <c:v>1.0780000000000001</c:v>
                </c:pt>
                <c:pt idx="11">
                  <c:v>1.115</c:v>
                </c:pt>
                <c:pt idx="12">
                  <c:v>0.94199999999999995</c:v>
                </c:pt>
                <c:pt idx="13">
                  <c:v>0.626</c:v>
                </c:pt>
                <c:pt idx="14">
                  <c:v>0.435</c:v>
                </c:pt>
                <c:pt idx="15">
                  <c:v>0.29699999999999999</c:v>
                </c:pt>
                <c:pt idx="16">
                  <c:v>0.187</c:v>
                </c:pt>
                <c:pt idx="17">
                  <c:v>0.13500000000000001</c:v>
                </c:pt>
                <c:pt idx="18">
                  <c:v>0.105</c:v>
                </c:pt>
              </c:numCache>
            </c:numRef>
          </c:yVal>
          <c:smooth val="1"/>
          <c:extLst>
            <c:ext xmlns:c16="http://schemas.microsoft.com/office/drawing/2014/chart" uri="{C3380CC4-5D6E-409C-BE32-E72D297353CC}">
              <c16:uniqueId val="{00000001-BD2C-4446-96C0-93503F16F7A0}"/>
            </c:ext>
          </c:extLst>
        </c:ser>
        <c:dLbls>
          <c:showLegendKey val="0"/>
          <c:showVal val="0"/>
          <c:showCatName val="0"/>
          <c:showSerName val="0"/>
          <c:showPercent val="0"/>
          <c:showBubbleSize val="0"/>
        </c:dLbls>
        <c:axId val="77852032"/>
        <c:axId val="77866496"/>
      </c:scatterChart>
      <c:valAx>
        <c:axId val="77852032"/>
        <c:scaling>
          <c:orientation val="minMax"/>
          <c:max val="452"/>
          <c:min val="440"/>
        </c:scaling>
        <c:delete val="0"/>
        <c:axPos val="t"/>
        <c:title>
          <c:tx>
            <c:rich>
              <a:bodyPr/>
              <a:lstStyle/>
              <a:p>
                <a:pPr>
                  <a:defRPr sz="1000" b="1" i="0" u="none" strike="noStrike" baseline="0">
                    <a:solidFill>
                      <a:srgbClr val="000000"/>
                    </a:solidFill>
                    <a:latin typeface="Arial"/>
                    <a:ea typeface="Arial"/>
                    <a:cs typeface="Arial"/>
                  </a:defRPr>
                </a:pPr>
                <a:r>
                  <a:rPr lang="pt-BR"/>
                  <a:t>Comprimento</a:t>
                </a:r>
                <a:r>
                  <a:rPr lang="pt-BR" baseline="0"/>
                  <a:t> de Onda</a:t>
                </a:r>
                <a:r>
                  <a:rPr lang="pt-BR"/>
                  <a:t> [nm]</a:t>
                </a:r>
              </a:p>
            </c:rich>
          </c:tx>
          <c:layout>
            <c:manualLayout>
              <c:xMode val="edge"/>
              <c:yMode val="edge"/>
              <c:x val="0.43979123805746739"/>
              <c:y val="0.89920439303804467"/>
            </c:manualLayout>
          </c:layout>
          <c:overlay val="0"/>
          <c:spPr>
            <a:noFill/>
            <a:ln w="25400">
              <a:noFill/>
            </a:ln>
          </c:spPr>
        </c:title>
        <c:numFmt formatCode="0.0" sourceLinked="0"/>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pt-BR"/>
          </a:p>
        </c:txPr>
        <c:crossAx val="77866496"/>
        <c:crosses val="max"/>
        <c:crossBetween val="midCat"/>
        <c:majorUnit val="1"/>
        <c:minorUnit val="0.2"/>
      </c:valAx>
      <c:valAx>
        <c:axId val="77866496"/>
        <c:scaling>
          <c:orientation val="minMax"/>
          <c:max val="3.3"/>
          <c:min val="0.15000000000000008"/>
        </c:scaling>
        <c:delete val="0"/>
        <c:axPos val="l"/>
        <c:majorGridlines>
          <c:spPr>
            <a:ln w="3175">
              <a:solidFill>
                <a:schemeClr val="bg1">
                  <a:lumMod val="65000"/>
                </a:schemeClr>
              </a:solidFill>
              <a:prstDash val="solid"/>
            </a:ln>
          </c:spPr>
        </c:majorGridlines>
        <c:title>
          <c:tx>
            <c:rich>
              <a:bodyPr/>
              <a:lstStyle/>
              <a:p>
                <a:pPr>
                  <a:defRPr sz="1000" b="1" i="0" u="none" strike="noStrike" baseline="0">
                    <a:solidFill>
                      <a:srgbClr val="000000"/>
                    </a:solidFill>
                    <a:latin typeface="Arial"/>
                    <a:ea typeface="Arial"/>
                    <a:cs typeface="Arial"/>
                  </a:defRPr>
                </a:pPr>
                <a:r>
                  <a:rPr lang="pt-BR"/>
                  <a:t>Absorbância </a:t>
                </a:r>
              </a:p>
            </c:rich>
          </c:tx>
          <c:layout>
            <c:manualLayout>
              <c:xMode val="edge"/>
              <c:yMode val="edge"/>
              <c:x val="1.7353129914374557E-2"/>
              <c:y val="0.33554289681725685"/>
            </c:manualLayout>
          </c:layout>
          <c:overlay val="0"/>
          <c:spPr>
            <a:noFill/>
            <a:ln w="25400">
              <a:noFill/>
            </a:ln>
          </c:spPr>
        </c:title>
        <c:numFmt formatCode="0.00" sourceLinked="0"/>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pt-BR"/>
          </a:p>
        </c:txPr>
        <c:crossAx val="77852032"/>
        <c:crosses val="autoZero"/>
        <c:crossBetween val="midCat"/>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pt-BR"/>
    </a:p>
  </c:txPr>
  <c:printSettings>
    <c:headerFooter alignWithMargins="0"/>
    <c:pageMargins b="0.98425196899999978" l="0.78740157499999996" r="0.78740157499999996" t="0.98425196899999978"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BR" sz="1100" b="1"/>
              <a:t>Pico 4  -  333,8 nm</a:t>
            </a:r>
          </a:p>
        </c:rich>
      </c:tx>
      <c:layout>
        <c:manualLayout>
          <c:xMode val="edge"/>
          <c:yMode val="edge"/>
          <c:x val="0.54164327045688065"/>
          <c:y val="0.1408385163975715"/>
        </c:manualLayout>
      </c:layout>
      <c:overlay val="0"/>
    </c:title>
    <c:autoTitleDeleted val="0"/>
    <c:plotArea>
      <c:layout>
        <c:manualLayout>
          <c:layoutTarget val="inner"/>
          <c:xMode val="edge"/>
          <c:yMode val="edge"/>
          <c:x val="7.4030397363120337E-2"/>
          <c:y val="8.5098873026628372E-2"/>
          <c:w val="0.81675531869566498"/>
          <c:h val="0.74801061007957614"/>
        </c:manualLayout>
      </c:layout>
      <c:scatterChart>
        <c:scatterStyle val="smoothMarker"/>
        <c:varyColors val="0"/>
        <c:ser>
          <c:idx val="0"/>
          <c:order val="0"/>
          <c:tx>
            <c:v>Pico 4</c:v>
          </c:tx>
          <c:spPr>
            <a:ln w="12700">
              <a:solidFill>
                <a:srgbClr val="000080"/>
              </a:solidFill>
              <a:prstDash val="solid"/>
            </a:ln>
          </c:spPr>
          <c:marker>
            <c:symbol val="none"/>
          </c:marker>
          <c:xVal>
            <c:numRef>
              <c:f>'Registro Original'!$AA$3407:$AA$3527</c:f>
              <c:numCache>
                <c:formatCode>0.0</c:formatCode>
                <c:ptCount val="121"/>
                <c:pt idx="0">
                  <c:v>339.8</c:v>
                </c:pt>
                <c:pt idx="1">
                  <c:v>339.7</c:v>
                </c:pt>
                <c:pt idx="2">
                  <c:v>339.6</c:v>
                </c:pt>
                <c:pt idx="3">
                  <c:v>339.5</c:v>
                </c:pt>
                <c:pt idx="4">
                  <c:v>339.4</c:v>
                </c:pt>
                <c:pt idx="5">
                  <c:v>339.3</c:v>
                </c:pt>
                <c:pt idx="6">
                  <c:v>339.2</c:v>
                </c:pt>
                <c:pt idx="7">
                  <c:v>339.1</c:v>
                </c:pt>
                <c:pt idx="8">
                  <c:v>339</c:v>
                </c:pt>
                <c:pt idx="9">
                  <c:v>338.9</c:v>
                </c:pt>
                <c:pt idx="10">
                  <c:v>338.8</c:v>
                </c:pt>
                <c:pt idx="11">
                  <c:v>338.7</c:v>
                </c:pt>
                <c:pt idx="12">
                  <c:v>338.6</c:v>
                </c:pt>
                <c:pt idx="13">
                  <c:v>338.5</c:v>
                </c:pt>
                <c:pt idx="14">
                  <c:v>338.4</c:v>
                </c:pt>
                <c:pt idx="15">
                  <c:v>338.3</c:v>
                </c:pt>
                <c:pt idx="16">
                  <c:v>338.2</c:v>
                </c:pt>
                <c:pt idx="17">
                  <c:v>338.1</c:v>
                </c:pt>
                <c:pt idx="18">
                  <c:v>338</c:v>
                </c:pt>
                <c:pt idx="19">
                  <c:v>337.9</c:v>
                </c:pt>
                <c:pt idx="20">
                  <c:v>337.8</c:v>
                </c:pt>
                <c:pt idx="21">
                  <c:v>337.7</c:v>
                </c:pt>
                <c:pt idx="22">
                  <c:v>337.6</c:v>
                </c:pt>
                <c:pt idx="23">
                  <c:v>337.5</c:v>
                </c:pt>
                <c:pt idx="24">
                  <c:v>337.4</c:v>
                </c:pt>
                <c:pt idx="25">
                  <c:v>337.3</c:v>
                </c:pt>
                <c:pt idx="26">
                  <c:v>337.2</c:v>
                </c:pt>
                <c:pt idx="27">
                  <c:v>337.1</c:v>
                </c:pt>
                <c:pt idx="28">
                  <c:v>337</c:v>
                </c:pt>
                <c:pt idx="29">
                  <c:v>336.9</c:v>
                </c:pt>
                <c:pt idx="30">
                  <c:v>336.8</c:v>
                </c:pt>
                <c:pt idx="31">
                  <c:v>336.7</c:v>
                </c:pt>
                <c:pt idx="32">
                  <c:v>336.6</c:v>
                </c:pt>
                <c:pt idx="33">
                  <c:v>336.5</c:v>
                </c:pt>
                <c:pt idx="34">
                  <c:v>336.4</c:v>
                </c:pt>
                <c:pt idx="35">
                  <c:v>336.3</c:v>
                </c:pt>
                <c:pt idx="36">
                  <c:v>336.2</c:v>
                </c:pt>
                <c:pt idx="37">
                  <c:v>336.1</c:v>
                </c:pt>
                <c:pt idx="38">
                  <c:v>336</c:v>
                </c:pt>
                <c:pt idx="39">
                  <c:v>335.9</c:v>
                </c:pt>
                <c:pt idx="40">
                  <c:v>335.8</c:v>
                </c:pt>
                <c:pt idx="41">
                  <c:v>335.7</c:v>
                </c:pt>
                <c:pt idx="42">
                  <c:v>335.6</c:v>
                </c:pt>
                <c:pt idx="43">
                  <c:v>335.5</c:v>
                </c:pt>
                <c:pt idx="44">
                  <c:v>335.4</c:v>
                </c:pt>
                <c:pt idx="45">
                  <c:v>335.3</c:v>
                </c:pt>
                <c:pt idx="46">
                  <c:v>335.2</c:v>
                </c:pt>
                <c:pt idx="47">
                  <c:v>335.1</c:v>
                </c:pt>
                <c:pt idx="48">
                  <c:v>335</c:v>
                </c:pt>
                <c:pt idx="49">
                  <c:v>334.9</c:v>
                </c:pt>
                <c:pt idx="50">
                  <c:v>334.8</c:v>
                </c:pt>
                <c:pt idx="51">
                  <c:v>334.7</c:v>
                </c:pt>
                <c:pt idx="52">
                  <c:v>334.6</c:v>
                </c:pt>
                <c:pt idx="53">
                  <c:v>334.5</c:v>
                </c:pt>
                <c:pt idx="54">
                  <c:v>334.4</c:v>
                </c:pt>
                <c:pt idx="55">
                  <c:v>334.3</c:v>
                </c:pt>
                <c:pt idx="56">
                  <c:v>334.2</c:v>
                </c:pt>
                <c:pt idx="57">
                  <c:v>334.1</c:v>
                </c:pt>
                <c:pt idx="58">
                  <c:v>334</c:v>
                </c:pt>
                <c:pt idx="59">
                  <c:v>333.9</c:v>
                </c:pt>
                <c:pt idx="60">
                  <c:v>333.8</c:v>
                </c:pt>
                <c:pt idx="61">
                  <c:v>333.7</c:v>
                </c:pt>
                <c:pt idx="62">
                  <c:v>333.6</c:v>
                </c:pt>
                <c:pt idx="63">
                  <c:v>333.5</c:v>
                </c:pt>
                <c:pt idx="64">
                  <c:v>333.4</c:v>
                </c:pt>
                <c:pt idx="65">
                  <c:v>333.3</c:v>
                </c:pt>
                <c:pt idx="66">
                  <c:v>333.2</c:v>
                </c:pt>
                <c:pt idx="67">
                  <c:v>333.1</c:v>
                </c:pt>
                <c:pt idx="68">
                  <c:v>333</c:v>
                </c:pt>
                <c:pt idx="69">
                  <c:v>332.9</c:v>
                </c:pt>
                <c:pt idx="70">
                  <c:v>332.8</c:v>
                </c:pt>
                <c:pt idx="71">
                  <c:v>332.7</c:v>
                </c:pt>
                <c:pt idx="72">
                  <c:v>332.6</c:v>
                </c:pt>
                <c:pt idx="73">
                  <c:v>332.5</c:v>
                </c:pt>
                <c:pt idx="74">
                  <c:v>332.4</c:v>
                </c:pt>
                <c:pt idx="75">
                  <c:v>332.3</c:v>
                </c:pt>
                <c:pt idx="76">
                  <c:v>332.2</c:v>
                </c:pt>
                <c:pt idx="77">
                  <c:v>332.1</c:v>
                </c:pt>
                <c:pt idx="78">
                  <c:v>332</c:v>
                </c:pt>
                <c:pt idx="79">
                  <c:v>331.9</c:v>
                </c:pt>
                <c:pt idx="80">
                  <c:v>331.8</c:v>
                </c:pt>
                <c:pt idx="81">
                  <c:v>331.7</c:v>
                </c:pt>
                <c:pt idx="82">
                  <c:v>331.6</c:v>
                </c:pt>
                <c:pt idx="83">
                  <c:v>331.5</c:v>
                </c:pt>
                <c:pt idx="84">
                  <c:v>331.4</c:v>
                </c:pt>
                <c:pt idx="85">
                  <c:v>331.3</c:v>
                </c:pt>
                <c:pt idx="86">
                  <c:v>331.2</c:v>
                </c:pt>
                <c:pt idx="87">
                  <c:v>331.1</c:v>
                </c:pt>
                <c:pt idx="88">
                  <c:v>331</c:v>
                </c:pt>
                <c:pt idx="89">
                  <c:v>330.9</c:v>
                </c:pt>
                <c:pt idx="90">
                  <c:v>330.8</c:v>
                </c:pt>
                <c:pt idx="91">
                  <c:v>330.7</c:v>
                </c:pt>
                <c:pt idx="92">
                  <c:v>330.6</c:v>
                </c:pt>
                <c:pt idx="93">
                  <c:v>330.5</c:v>
                </c:pt>
                <c:pt idx="94">
                  <c:v>330.4</c:v>
                </c:pt>
                <c:pt idx="95">
                  <c:v>330.3</c:v>
                </c:pt>
                <c:pt idx="96">
                  <c:v>330.2</c:v>
                </c:pt>
                <c:pt idx="97">
                  <c:v>330.1</c:v>
                </c:pt>
                <c:pt idx="98">
                  <c:v>330</c:v>
                </c:pt>
                <c:pt idx="99">
                  <c:v>329.9</c:v>
                </c:pt>
                <c:pt idx="100">
                  <c:v>329.8</c:v>
                </c:pt>
                <c:pt idx="101">
                  <c:v>329.7</c:v>
                </c:pt>
                <c:pt idx="102">
                  <c:v>329.6</c:v>
                </c:pt>
                <c:pt idx="103">
                  <c:v>329.5</c:v>
                </c:pt>
                <c:pt idx="104">
                  <c:v>329.4</c:v>
                </c:pt>
                <c:pt idx="105">
                  <c:v>329.3</c:v>
                </c:pt>
                <c:pt idx="106">
                  <c:v>329.2</c:v>
                </c:pt>
                <c:pt idx="107">
                  <c:v>329.1</c:v>
                </c:pt>
                <c:pt idx="108">
                  <c:v>329</c:v>
                </c:pt>
                <c:pt idx="109">
                  <c:v>328.9</c:v>
                </c:pt>
                <c:pt idx="110">
                  <c:v>328.8</c:v>
                </c:pt>
                <c:pt idx="111">
                  <c:v>328.7</c:v>
                </c:pt>
                <c:pt idx="112">
                  <c:v>328.6</c:v>
                </c:pt>
                <c:pt idx="113">
                  <c:v>328.5</c:v>
                </c:pt>
                <c:pt idx="114">
                  <c:v>328.4</c:v>
                </c:pt>
                <c:pt idx="115">
                  <c:v>328.3</c:v>
                </c:pt>
                <c:pt idx="116">
                  <c:v>328.2</c:v>
                </c:pt>
                <c:pt idx="117">
                  <c:v>328.1</c:v>
                </c:pt>
                <c:pt idx="118">
                  <c:v>328</c:v>
                </c:pt>
                <c:pt idx="119">
                  <c:v>327.9</c:v>
                </c:pt>
                <c:pt idx="120">
                  <c:v>327.8</c:v>
                </c:pt>
              </c:numCache>
            </c:numRef>
          </c:xVal>
          <c:yVal>
            <c:numRef>
              <c:f>'Registro Original'!$AC$3407:$AC$3527</c:f>
              <c:numCache>
                <c:formatCode>0.0000</c:formatCode>
                <c:ptCount val="121"/>
                <c:pt idx="0">
                  <c:v>8.5704453898715491E-2</c:v>
                </c:pt>
                <c:pt idx="1">
                  <c:v>8.5651553089608992E-2</c:v>
                </c:pt>
                <c:pt idx="2">
                  <c:v>8.5122899104229086E-2</c:v>
                </c:pt>
                <c:pt idx="3">
                  <c:v>8.4547398311521207E-2</c:v>
                </c:pt>
                <c:pt idx="4">
                  <c:v>8.4130768378108053E-2</c:v>
                </c:pt>
                <c:pt idx="5">
                  <c:v>8.3783003978588191E-2</c:v>
                </c:pt>
                <c:pt idx="6">
                  <c:v>8.4204572397933733E-2</c:v>
                </c:pt>
                <c:pt idx="7">
                  <c:v>8.3682941585768666E-2</c:v>
                </c:pt>
                <c:pt idx="8">
                  <c:v>8.3182975148689872E-2</c:v>
                </c:pt>
                <c:pt idx="9">
                  <c:v>8.348288593736039E-2</c:v>
                </c:pt>
                <c:pt idx="10">
                  <c:v>8.4579057427909568E-2</c:v>
                </c:pt>
                <c:pt idx="11">
                  <c:v>8.5561636499948565E-2</c:v>
                </c:pt>
                <c:pt idx="12">
                  <c:v>8.4790177203543135E-2</c:v>
                </c:pt>
                <c:pt idx="13">
                  <c:v>8.5006681536734158E-2</c:v>
                </c:pt>
                <c:pt idx="14">
                  <c:v>8.5085917413747839E-2</c:v>
                </c:pt>
                <c:pt idx="15">
                  <c:v>8.5540482360543318E-2</c:v>
                </c:pt>
                <c:pt idx="16">
                  <c:v>8.6451042093482117E-2</c:v>
                </c:pt>
                <c:pt idx="17">
                  <c:v>8.7368825639638825E-2</c:v>
                </c:pt>
                <c:pt idx="18">
                  <c:v>8.7687585595160156E-2</c:v>
                </c:pt>
                <c:pt idx="19">
                  <c:v>8.8118282991807781E-2</c:v>
                </c:pt>
                <c:pt idx="20">
                  <c:v>8.863461906910855E-2</c:v>
                </c:pt>
                <c:pt idx="21">
                  <c:v>8.8970300493788124E-2</c:v>
                </c:pt>
                <c:pt idx="22">
                  <c:v>9.0107148790359928E-2</c:v>
                </c:pt>
                <c:pt idx="23">
                  <c:v>9.1091616382089027E-2</c:v>
                </c:pt>
                <c:pt idx="24">
                  <c:v>9.1858263014060498E-2</c:v>
                </c:pt>
                <c:pt idx="25">
                  <c:v>9.1922658587919245E-2</c:v>
                </c:pt>
                <c:pt idx="26">
                  <c:v>9.1547152274511615E-2</c:v>
                </c:pt>
                <c:pt idx="27">
                  <c:v>9.1397040611288741E-2</c:v>
                </c:pt>
                <c:pt idx="28">
                  <c:v>9.1579325810986156E-2</c:v>
                </c:pt>
                <c:pt idx="29">
                  <c:v>9.242204829788031E-2</c:v>
                </c:pt>
                <c:pt idx="30">
                  <c:v>9.2911254925704484E-2</c:v>
                </c:pt>
                <c:pt idx="31">
                  <c:v>9.3638017685493222E-2</c:v>
                </c:pt>
                <c:pt idx="32">
                  <c:v>9.3541045686749383E-2</c:v>
                </c:pt>
                <c:pt idx="33">
                  <c:v>9.4895224428672098E-2</c:v>
                </c:pt>
                <c:pt idx="34">
                  <c:v>9.5625317622263381E-2</c:v>
                </c:pt>
                <c:pt idx="35">
                  <c:v>9.6297004887504548E-2</c:v>
                </c:pt>
                <c:pt idx="36">
                  <c:v>9.7252154648514874E-2</c:v>
                </c:pt>
                <c:pt idx="37">
                  <c:v>9.7181531917746505E-2</c:v>
                </c:pt>
                <c:pt idx="38">
                  <c:v>9.8187630469348808E-2</c:v>
                </c:pt>
                <c:pt idx="39">
                  <c:v>9.8797862563290151E-2</c:v>
                </c:pt>
                <c:pt idx="40">
                  <c:v>9.9316143092617049E-2</c:v>
                </c:pt>
                <c:pt idx="41">
                  <c:v>0.10123643549339678</c:v>
                </c:pt>
                <c:pt idx="42">
                  <c:v>0.10298354903831149</c:v>
                </c:pt>
                <c:pt idx="43">
                  <c:v>0.10609959644625723</c:v>
                </c:pt>
                <c:pt idx="44">
                  <c:v>0.10814488208025839</c:v>
                </c:pt>
                <c:pt idx="45">
                  <c:v>0.11086644403327613</c:v>
                </c:pt>
                <c:pt idx="46">
                  <c:v>0.11380266368502634</c:v>
                </c:pt>
                <c:pt idx="47">
                  <c:v>0.11698054598789683</c:v>
                </c:pt>
                <c:pt idx="48">
                  <c:v>0.12163333737485037</c:v>
                </c:pt>
                <c:pt idx="49">
                  <c:v>0.12622615459473402</c:v>
                </c:pt>
                <c:pt idx="50">
                  <c:v>0.13123804178794973</c:v>
                </c:pt>
                <c:pt idx="51">
                  <c:v>0.13730821755487185</c:v>
                </c:pt>
                <c:pt idx="52">
                  <c:v>0.14305371478307047</c:v>
                </c:pt>
                <c:pt idx="53">
                  <c:v>0.14839313221045314</c:v>
                </c:pt>
                <c:pt idx="54">
                  <c:v>0.15485853270888045</c:v>
                </c:pt>
                <c:pt idx="55">
                  <c:v>0.16107538635465016</c:v>
                </c:pt>
                <c:pt idx="56">
                  <c:v>0.16575737448476308</c:v>
                </c:pt>
                <c:pt idx="57">
                  <c:v>0.16948190188279624</c:v>
                </c:pt>
                <c:pt idx="58">
                  <c:v>0.17031035910102896</c:v>
                </c:pt>
                <c:pt idx="59">
                  <c:v>0.17088928984470539</c:v>
                </c:pt>
                <c:pt idx="60">
                  <c:v>0.1699055662744057</c:v>
                </c:pt>
                <c:pt idx="61">
                  <c:v>0.16808545540020678</c:v>
                </c:pt>
                <c:pt idx="62">
                  <c:v>0.16439819849527848</c:v>
                </c:pt>
                <c:pt idx="63">
                  <c:v>0.15976840504189108</c:v>
                </c:pt>
                <c:pt idx="64">
                  <c:v>0.1538299563400001</c:v>
                </c:pt>
                <c:pt idx="65">
                  <c:v>0.14814872431852449</c:v>
                </c:pt>
                <c:pt idx="66">
                  <c:v>0.14167940215983077</c:v>
                </c:pt>
                <c:pt idx="67">
                  <c:v>0.13656411903701357</c:v>
                </c:pt>
                <c:pt idx="68">
                  <c:v>0.13071546388161565</c:v>
                </c:pt>
                <c:pt idx="69">
                  <c:v>0.12482294018529605</c:v>
                </c:pt>
                <c:pt idx="70">
                  <c:v>0.11938645782463268</c:v>
                </c:pt>
                <c:pt idx="71">
                  <c:v>0.11516500211807688</c:v>
                </c:pt>
                <c:pt idx="72">
                  <c:v>0.1111524426436037</c:v>
                </c:pt>
                <c:pt idx="73">
                  <c:v>0.10749913229903256</c:v>
                </c:pt>
                <c:pt idx="74">
                  <c:v>0.10482616704283282</c:v>
                </c:pt>
                <c:pt idx="75">
                  <c:v>0.10298354903831149</c:v>
                </c:pt>
                <c:pt idx="76">
                  <c:v>0.10103361069427923</c:v>
                </c:pt>
                <c:pt idx="77">
                  <c:v>9.9687503016273438E-2</c:v>
                </c:pt>
                <c:pt idx="78">
                  <c:v>9.7540197000704418E-2</c:v>
                </c:pt>
                <c:pt idx="79">
                  <c:v>9.5950197871235973E-2</c:v>
                </c:pt>
                <c:pt idx="80">
                  <c:v>9.4339014642348881E-2</c:v>
                </c:pt>
                <c:pt idx="81">
                  <c:v>9.3083414675009385E-2</c:v>
                </c:pt>
                <c:pt idx="82">
                  <c:v>9.2362950745310549E-2</c:v>
                </c:pt>
                <c:pt idx="83">
                  <c:v>9.0984500870958024E-2</c:v>
                </c:pt>
                <c:pt idx="84">
                  <c:v>8.8874365036881384E-2</c:v>
                </c:pt>
                <c:pt idx="85">
                  <c:v>8.761850108119966E-2</c:v>
                </c:pt>
                <c:pt idx="86">
                  <c:v>8.676382553034917E-2</c:v>
                </c:pt>
                <c:pt idx="87">
                  <c:v>8.5466450985981712E-2</c:v>
                </c:pt>
                <c:pt idx="88">
                  <c:v>8.4811294826843714E-2</c:v>
                </c:pt>
                <c:pt idx="89">
                  <c:v>8.365661320847112E-2</c:v>
                </c:pt>
                <c:pt idx="90">
                  <c:v>8.2226749312270336E-2</c:v>
                </c:pt>
                <c:pt idx="91">
                  <c:v>7.993931685411669E-2</c:v>
                </c:pt>
                <c:pt idx="92">
                  <c:v>7.7830088453994639E-2</c:v>
                </c:pt>
                <c:pt idx="93">
                  <c:v>7.7020369927830332E-2</c:v>
                </c:pt>
                <c:pt idx="94">
                  <c:v>7.5379616544486466E-2</c:v>
                </c:pt>
                <c:pt idx="95">
                  <c:v>7.5240153879839872E-2</c:v>
                </c:pt>
                <c:pt idx="96">
                  <c:v>7.3822246012611087E-2</c:v>
                </c:pt>
                <c:pt idx="97">
                  <c:v>7.3035373286634536E-2</c:v>
                </c:pt>
                <c:pt idx="98">
                  <c:v>7.2444870107773368E-2</c:v>
                </c:pt>
                <c:pt idx="99">
                  <c:v>7.194229156403785E-2</c:v>
                </c:pt>
                <c:pt idx="100">
                  <c:v>7.1440293947000619E-2</c:v>
                </c:pt>
                <c:pt idx="101">
                  <c:v>7.0969558347117226E-2</c:v>
                </c:pt>
                <c:pt idx="102">
                  <c:v>7.0335894857722028E-2</c:v>
                </c:pt>
                <c:pt idx="103">
                  <c:v>6.913243850994763E-2</c:v>
                </c:pt>
                <c:pt idx="104">
                  <c:v>6.8328594365168915E-2</c:v>
                </c:pt>
                <c:pt idx="105">
                  <c:v>6.7348697937635843E-2</c:v>
                </c:pt>
                <c:pt idx="106">
                  <c:v>6.751608837405125E-2</c:v>
                </c:pt>
                <c:pt idx="107">
                  <c:v>6.7911995155421498E-2</c:v>
                </c:pt>
                <c:pt idx="108">
                  <c:v>6.7840908382669901E-2</c:v>
                </c:pt>
                <c:pt idx="109">
                  <c:v>6.830318053033882E-2</c:v>
                </c:pt>
                <c:pt idx="110">
                  <c:v>6.8216784614140338E-2</c:v>
                </c:pt>
                <c:pt idx="111">
                  <c:v>6.80846829187539E-2</c:v>
                </c:pt>
                <c:pt idx="112">
                  <c:v>6.8059283352591482E-2</c:v>
                </c:pt>
                <c:pt idx="113">
                  <c:v>6.7414631923114851E-2</c:v>
                </c:pt>
                <c:pt idx="114">
                  <c:v>6.7571899526464169E-2</c:v>
                </c:pt>
                <c:pt idx="115">
                  <c:v>6.7450138984964991E-2</c:v>
                </c:pt>
                <c:pt idx="116">
                  <c:v>6.7095198933296657E-2</c:v>
                </c:pt>
                <c:pt idx="117">
                  <c:v>6.7085062050213695E-2</c:v>
                </c:pt>
                <c:pt idx="118">
                  <c:v>6.6487404352452623E-2</c:v>
                </c:pt>
                <c:pt idx="119">
                  <c:v>6.6841847810779162E-2</c:v>
                </c:pt>
                <c:pt idx="120">
                  <c:v>6.7805369359213163E-2</c:v>
                </c:pt>
              </c:numCache>
            </c:numRef>
          </c:yVal>
          <c:smooth val="1"/>
          <c:extLst>
            <c:ext xmlns:c16="http://schemas.microsoft.com/office/drawing/2014/chart" uri="{C3380CC4-5D6E-409C-BE32-E72D297353CC}">
              <c16:uniqueId val="{00000000-F5BD-44C1-BD27-41E4D3A65665}"/>
            </c:ext>
          </c:extLst>
        </c:ser>
        <c:ser>
          <c:idx val="1"/>
          <c:order val="1"/>
          <c:tx>
            <c:v>Pico 4 - CAL1</c:v>
          </c:tx>
          <c:spPr>
            <a:ln>
              <a:solidFill>
                <a:srgbClr val="FF0000"/>
              </a:solidFill>
            </a:ln>
          </c:spPr>
          <c:marker>
            <c:symbol val="none"/>
          </c:marker>
          <c:xVal>
            <c:numRef>
              <c:f>'Registro Original'!$B$252:$B$276</c:f>
              <c:numCache>
                <c:formatCode>0.0</c:formatCode>
                <c:ptCount val="25"/>
                <c:pt idx="0">
                  <c:v>346</c:v>
                </c:pt>
                <c:pt idx="1">
                  <c:v>345</c:v>
                </c:pt>
                <c:pt idx="2">
                  <c:v>344</c:v>
                </c:pt>
                <c:pt idx="3">
                  <c:v>343</c:v>
                </c:pt>
                <c:pt idx="4">
                  <c:v>342</c:v>
                </c:pt>
                <c:pt idx="5">
                  <c:v>341</c:v>
                </c:pt>
                <c:pt idx="6">
                  <c:v>340</c:v>
                </c:pt>
                <c:pt idx="7">
                  <c:v>339</c:v>
                </c:pt>
                <c:pt idx="8">
                  <c:v>338</c:v>
                </c:pt>
                <c:pt idx="9">
                  <c:v>337</c:v>
                </c:pt>
                <c:pt idx="10">
                  <c:v>336</c:v>
                </c:pt>
                <c:pt idx="11">
                  <c:v>335</c:v>
                </c:pt>
                <c:pt idx="12">
                  <c:v>334</c:v>
                </c:pt>
                <c:pt idx="13">
                  <c:v>333</c:v>
                </c:pt>
                <c:pt idx="14">
                  <c:v>332</c:v>
                </c:pt>
                <c:pt idx="15">
                  <c:v>331</c:v>
                </c:pt>
                <c:pt idx="16">
                  <c:v>330</c:v>
                </c:pt>
                <c:pt idx="17">
                  <c:v>329</c:v>
                </c:pt>
                <c:pt idx="18">
                  <c:v>328</c:v>
                </c:pt>
                <c:pt idx="19">
                  <c:v>327</c:v>
                </c:pt>
                <c:pt idx="20">
                  <c:v>326</c:v>
                </c:pt>
                <c:pt idx="21">
                  <c:v>325</c:v>
                </c:pt>
                <c:pt idx="22">
                  <c:v>324</c:v>
                </c:pt>
                <c:pt idx="23">
                  <c:v>323</c:v>
                </c:pt>
                <c:pt idx="24">
                  <c:v>322</c:v>
                </c:pt>
              </c:numCache>
            </c:numRef>
          </c:xVal>
          <c:yVal>
            <c:numRef>
              <c:f>'Registro Original'!$C$252:$C$276</c:f>
              <c:numCache>
                <c:formatCode>0.000</c:formatCode>
                <c:ptCount val="25"/>
                <c:pt idx="6">
                  <c:v>7.2999999999999995E-2</c:v>
                </c:pt>
                <c:pt idx="7">
                  <c:v>7.3999999999999996E-2</c:v>
                </c:pt>
                <c:pt idx="8">
                  <c:v>7.8E-2</c:v>
                </c:pt>
                <c:pt idx="9">
                  <c:v>8.6999999999999994E-2</c:v>
                </c:pt>
                <c:pt idx="10">
                  <c:v>9.6000000000000002E-2</c:v>
                </c:pt>
                <c:pt idx="11">
                  <c:v>0.10299999999999999</c:v>
                </c:pt>
                <c:pt idx="12">
                  <c:v>0.10100000000000001</c:v>
                </c:pt>
                <c:pt idx="13">
                  <c:v>9.4E-2</c:v>
                </c:pt>
                <c:pt idx="14">
                  <c:v>7.8E-2</c:v>
                </c:pt>
                <c:pt idx="15">
                  <c:v>6.7000000000000004E-2</c:v>
                </c:pt>
                <c:pt idx="16">
                  <c:v>0.06</c:v>
                </c:pt>
                <c:pt idx="17">
                  <c:v>5.6000000000000001E-2</c:v>
                </c:pt>
                <c:pt idx="18">
                  <c:v>5.3999999999999999E-2</c:v>
                </c:pt>
              </c:numCache>
            </c:numRef>
          </c:yVal>
          <c:smooth val="1"/>
          <c:extLst>
            <c:ext xmlns:c16="http://schemas.microsoft.com/office/drawing/2014/chart" uri="{C3380CC4-5D6E-409C-BE32-E72D297353CC}">
              <c16:uniqueId val="{00000001-F5BD-44C1-BD27-41E4D3A65665}"/>
            </c:ext>
          </c:extLst>
        </c:ser>
        <c:ser>
          <c:idx val="2"/>
          <c:order val="2"/>
          <c:tx>
            <c:v>Pico 4 - Largura de banda</c:v>
          </c:tx>
          <c:spPr>
            <a:ln w="15875">
              <a:solidFill>
                <a:srgbClr val="FFC000"/>
              </a:solidFill>
            </a:ln>
          </c:spPr>
          <c:marker>
            <c:symbol val="none"/>
          </c:marker>
          <c:xVal>
            <c:numRef>
              <c:f>'Registro Original'!$AE$254:$CM$254</c:f>
              <c:numCache>
                <c:formatCode>0.0</c:formatCode>
                <c:ptCount val="61"/>
                <c:pt idx="0">
                  <c:v>327.8</c:v>
                </c:pt>
                <c:pt idx="1">
                  <c:v>328</c:v>
                </c:pt>
                <c:pt idx="2">
                  <c:v>328.2</c:v>
                </c:pt>
                <c:pt idx="3">
                  <c:v>328.4</c:v>
                </c:pt>
                <c:pt idx="4">
                  <c:v>328.59999999999997</c:v>
                </c:pt>
                <c:pt idx="5">
                  <c:v>328.79999999999995</c:v>
                </c:pt>
                <c:pt idx="6">
                  <c:v>328.99999999999994</c:v>
                </c:pt>
                <c:pt idx="7">
                  <c:v>329.19999999999993</c:v>
                </c:pt>
                <c:pt idx="8">
                  <c:v>329.39999999999992</c:v>
                </c:pt>
                <c:pt idx="9">
                  <c:v>329.59999999999991</c:v>
                </c:pt>
                <c:pt idx="10">
                  <c:v>329.7999999999999</c:v>
                </c:pt>
                <c:pt idx="11">
                  <c:v>329.99999999999989</c:v>
                </c:pt>
                <c:pt idx="12">
                  <c:v>330.19999999999987</c:v>
                </c:pt>
                <c:pt idx="13">
                  <c:v>330.39999999999986</c:v>
                </c:pt>
                <c:pt idx="14">
                  <c:v>330.59999999999985</c:v>
                </c:pt>
                <c:pt idx="15">
                  <c:v>330.79999999999984</c:v>
                </c:pt>
                <c:pt idx="16">
                  <c:v>330.99999999999983</c:v>
                </c:pt>
                <c:pt idx="17">
                  <c:v>331.19999999999982</c:v>
                </c:pt>
                <c:pt idx="18">
                  <c:v>331.39999999999981</c:v>
                </c:pt>
                <c:pt idx="19">
                  <c:v>331.5999999999998</c:v>
                </c:pt>
                <c:pt idx="20">
                  <c:v>331.79999999999978</c:v>
                </c:pt>
                <c:pt idx="21">
                  <c:v>331.99999999999977</c:v>
                </c:pt>
                <c:pt idx="22">
                  <c:v>332.19999999999976</c:v>
                </c:pt>
                <c:pt idx="23">
                  <c:v>332.39999999999975</c:v>
                </c:pt>
                <c:pt idx="24">
                  <c:v>332.59999999999974</c:v>
                </c:pt>
                <c:pt idx="25">
                  <c:v>332.79999999999973</c:v>
                </c:pt>
                <c:pt idx="26">
                  <c:v>332.99999999999972</c:v>
                </c:pt>
                <c:pt idx="27">
                  <c:v>333.1999999999997</c:v>
                </c:pt>
                <c:pt idx="28">
                  <c:v>333.39999999999969</c:v>
                </c:pt>
                <c:pt idx="29">
                  <c:v>333.59999999999968</c:v>
                </c:pt>
                <c:pt idx="30">
                  <c:v>333.79999999999967</c:v>
                </c:pt>
                <c:pt idx="31">
                  <c:v>333.99999999999966</c:v>
                </c:pt>
                <c:pt idx="32">
                  <c:v>334.19999999999965</c:v>
                </c:pt>
                <c:pt idx="33">
                  <c:v>334.39999999999964</c:v>
                </c:pt>
                <c:pt idx="34">
                  <c:v>334.59999999999962</c:v>
                </c:pt>
                <c:pt idx="35">
                  <c:v>334.79999999999961</c:v>
                </c:pt>
                <c:pt idx="36">
                  <c:v>334.9999999999996</c:v>
                </c:pt>
                <c:pt idx="37">
                  <c:v>335.19999999999959</c:v>
                </c:pt>
                <c:pt idx="38">
                  <c:v>335.39999999999958</c:v>
                </c:pt>
                <c:pt idx="39">
                  <c:v>335.59999999999957</c:v>
                </c:pt>
                <c:pt idx="40">
                  <c:v>335.79999999999956</c:v>
                </c:pt>
                <c:pt idx="41">
                  <c:v>335.99999999999955</c:v>
                </c:pt>
                <c:pt idx="42">
                  <c:v>336.19999999999953</c:v>
                </c:pt>
                <c:pt idx="43">
                  <c:v>336.39999999999952</c:v>
                </c:pt>
                <c:pt idx="44">
                  <c:v>336.59999999999951</c:v>
                </c:pt>
                <c:pt idx="45">
                  <c:v>336.7999999999995</c:v>
                </c:pt>
                <c:pt idx="46">
                  <c:v>336.99999999999949</c:v>
                </c:pt>
                <c:pt idx="47">
                  <c:v>337.19999999999948</c:v>
                </c:pt>
                <c:pt idx="48">
                  <c:v>337.39999999999947</c:v>
                </c:pt>
                <c:pt idx="49">
                  <c:v>337.59999999999945</c:v>
                </c:pt>
                <c:pt idx="50">
                  <c:v>337.79999999999944</c:v>
                </c:pt>
                <c:pt idx="51">
                  <c:v>337.99999999999943</c:v>
                </c:pt>
                <c:pt idx="52">
                  <c:v>338.19999999999942</c:v>
                </c:pt>
                <c:pt idx="53">
                  <c:v>338.39999999999941</c:v>
                </c:pt>
                <c:pt idx="54">
                  <c:v>338.5999999999994</c:v>
                </c:pt>
                <c:pt idx="55">
                  <c:v>338.79999999999939</c:v>
                </c:pt>
                <c:pt idx="56">
                  <c:v>338.99999999999937</c:v>
                </c:pt>
                <c:pt idx="57">
                  <c:v>339.19999999999936</c:v>
                </c:pt>
                <c:pt idx="58">
                  <c:v>339.39999999999935</c:v>
                </c:pt>
                <c:pt idx="59">
                  <c:v>339.59999999999934</c:v>
                </c:pt>
                <c:pt idx="60">
                  <c:v>339.79999999999933</c:v>
                </c:pt>
              </c:numCache>
            </c:numRef>
          </c:xVal>
          <c:yVal>
            <c:numRef>
              <c:f>'Registro Original'!$AE$255:$CM$255</c:f>
              <c:numCache>
                <c:formatCode>0.0000</c:formatCode>
                <c:ptCount val="61"/>
                <c:pt idx="0">
                  <c:v>0.12705</c:v>
                </c:pt>
                <c:pt idx="1">
                  <c:v>0.12705</c:v>
                </c:pt>
                <c:pt idx="2">
                  <c:v>0.12705</c:v>
                </c:pt>
                <c:pt idx="3">
                  <c:v>0.12705</c:v>
                </c:pt>
                <c:pt idx="4">
                  <c:v>0.12705</c:v>
                </c:pt>
                <c:pt idx="5">
                  <c:v>0.12705</c:v>
                </c:pt>
                <c:pt idx="6">
                  <c:v>0.12705</c:v>
                </c:pt>
                <c:pt idx="7">
                  <c:v>0.12705</c:v>
                </c:pt>
                <c:pt idx="8">
                  <c:v>0.12705</c:v>
                </c:pt>
                <c:pt idx="9">
                  <c:v>0.12705</c:v>
                </c:pt>
                <c:pt idx="10">
                  <c:v>0.12705</c:v>
                </c:pt>
                <c:pt idx="11">
                  <c:v>0.12705</c:v>
                </c:pt>
                <c:pt idx="12">
                  <c:v>0.12705</c:v>
                </c:pt>
                <c:pt idx="13">
                  <c:v>0.12705</c:v>
                </c:pt>
                <c:pt idx="14">
                  <c:v>0.12705</c:v>
                </c:pt>
                <c:pt idx="15">
                  <c:v>0.12705</c:v>
                </c:pt>
                <c:pt idx="16">
                  <c:v>0.12705</c:v>
                </c:pt>
                <c:pt idx="17">
                  <c:v>0.12705</c:v>
                </c:pt>
                <c:pt idx="18">
                  <c:v>0.12705</c:v>
                </c:pt>
                <c:pt idx="19">
                  <c:v>0.12705</c:v>
                </c:pt>
                <c:pt idx="20">
                  <c:v>0.12705</c:v>
                </c:pt>
                <c:pt idx="21">
                  <c:v>0.12705</c:v>
                </c:pt>
                <c:pt idx="22">
                  <c:v>0.12705</c:v>
                </c:pt>
                <c:pt idx="23">
                  <c:v>0.12705</c:v>
                </c:pt>
                <c:pt idx="24">
                  <c:v>0.12705</c:v>
                </c:pt>
                <c:pt idx="25">
                  <c:v>0.12705</c:v>
                </c:pt>
                <c:pt idx="26">
                  <c:v>0.12705</c:v>
                </c:pt>
                <c:pt idx="27">
                  <c:v>0.12705</c:v>
                </c:pt>
                <c:pt idx="28">
                  <c:v>0.12705</c:v>
                </c:pt>
                <c:pt idx="29">
                  <c:v>0.12705</c:v>
                </c:pt>
                <c:pt idx="30">
                  <c:v>0.12705</c:v>
                </c:pt>
                <c:pt idx="31">
                  <c:v>0.12705</c:v>
                </c:pt>
                <c:pt idx="32">
                  <c:v>0.12705</c:v>
                </c:pt>
                <c:pt idx="33">
                  <c:v>0.12705</c:v>
                </c:pt>
                <c:pt idx="34">
                  <c:v>0.12705</c:v>
                </c:pt>
                <c:pt idx="35">
                  <c:v>0.12705</c:v>
                </c:pt>
                <c:pt idx="36">
                  <c:v>0.12705</c:v>
                </c:pt>
                <c:pt idx="37">
                  <c:v>0.12705</c:v>
                </c:pt>
                <c:pt idx="38">
                  <c:v>0.12705</c:v>
                </c:pt>
                <c:pt idx="39">
                  <c:v>0.12705</c:v>
                </c:pt>
                <c:pt idx="40">
                  <c:v>0.12705</c:v>
                </c:pt>
                <c:pt idx="41">
                  <c:v>0.12705</c:v>
                </c:pt>
                <c:pt idx="42">
                  <c:v>0.12705</c:v>
                </c:pt>
                <c:pt idx="43">
                  <c:v>0.12705</c:v>
                </c:pt>
                <c:pt idx="44">
                  <c:v>0.12705</c:v>
                </c:pt>
                <c:pt idx="45">
                  <c:v>0.12705</c:v>
                </c:pt>
                <c:pt idx="46">
                  <c:v>0.12705</c:v>
                </c:pt>
                <c:pt idx="47">
                  <c:v>0.12705</c:v>
                </c:pt>
                <c:pt idx="48">
                  <c:v>0.12705</c:v>
                </c:pt>
                <c:pt idx="49">
                  <c:v>0.12705</c:v>
                </c:pt>
                <c:pt idx="50">
                  <c:v>0.12705</c:v>
                </c:pt>
                <c:pt idx="51">
                  <c:v>0.12705</c:v>
                </c:pt>
                <c:pt idx="52">
                  <c:v>0.12705</c:v>
                </c:pt>
                <c:pt idx="53">
                  <c:v>0.12705</c:v>
                </c:pt>
                <c:pt idx="54">
                  <c:v>0.12705</c:v>
                </c:pt>
                <c:pt idx="55">
                  <c:v>0.12705</c:v>
                </c:pt>
                <c:pt idx="56">
                  <c:v>0.12705</c:v>
                </c:pt>
                <c:pt idx="57">
                  <c:v>0.12705</c:v>
                </c:pt>
                <c:pt idx="58">
                  <c:v>0.12705</c:v>
                </c:pt>
                <c:pt idx="59">
                  <c:v>0.12705</c:v>
                </c:pt>
                <c:pt idx="60">
                  <c:v>0.12705</c:v>
                </c:pt>
              </c:numCache>
            </c:numRef>
          </c:yVal>
          <c:smooth val="1"/>
          <c:extLst>
            <c:ext xmlns:c16="http://schemas.microsoft.com/office/drawing/2014/chart" uri="{C3380CC4-5D6E-409C-BE32-E72D297353CC}">
              <c16:uniqueId val="{00000002-F5BD-44C1-BD27-41E4D3A65665}"/>
            </c:ext>
          </c:extLst>
        </c:ser>
        <c:ser>
          <c:idx val="3"/>
          <c:order val="3"/>
          <c:tx>
            <c:v>Pico 4 - CAL2</c:v>
          </c:tx>
          <c:spPr>
            <a:ln>
              <a:solidFill>
                <a:srgbClr val="00B050"/>
              </a:solidFill>
            </a:ln>
          </c:spPr>
          <c:marker>
            <c:symbol val="none"/>
          </c:marker>
          <c:xVal>
            <c:numRef>
              <c:f>'Registro Original'!$E$252:$E$276</c:f>
              <c:numCache>
                <c:formatCode>0.0</c:formatCode>
                <c:ptCount val="25"/>
                <c:pt idx="0">
                  <c:v>340</c:v>
                </c:pt>
                <c:pt idx="1">
                  <c:v>339.5</c:v>
                </c:pt>
                <c:pt idx="2">
                  <c:v>339</c:v>
                </c:pt>
                <c:pt idx="3">
                  <c:v>338.5</c:v>
                </c:pt>
                <c:pt idx="4">
                  <c:v>338</c:v>
                </c:pt>
                <c:pt idx="5">
                  <c:v>337.5</c:v>
                </c:pt>
                <c:pt idx="6">
                  <c:v>337</c:v>
                </c:pt>
                <c:pt idx="7">
                  <c:v>336.5</c:v>
                </c:pt>
                <c:pt idx="8">
                  <c:v>336</c:v>
                </c:pt>
                <c:pt idx="9">
                  <c:v>335.5</c:v>
                </c:pt>
                <c:pt idx="10">
                  <c:v>335</c:v>
                </c:pt>
                <c:pt idx="11">
                  <c:v>334.5</c:v>
                </c:pt>
                <c:pt idx="12">
                  <c:v>334</c:v>
                </c:pt>
                <c:pt idx="13">
                  <c:v>333.5</c:v>
                </c:pt>
                <c:pt idx="14">
                  <c:v>333</c:v>
                </c:pt>
                <c:pt idx="15">
                  <c:v>332.5</c:v>
                </c:pt>
                <c:pt idx="16">
                  <c:v>332</c:v>
                </c:pt>
                <c:pt idx="17">
                  <c:v>331.5</c:v>
                </c:pt>
                <c:pt idx="18">
                  <c:v>331</c:v>
                </c:pt>
                <c:pt idx="19">
                  <c:v>330.5</c:v>
                </c:pt>
                <c:pt idx="20">
                  <c:v>330</c:v>
                </c:pt>
                <c:pt idx="21">
                  <c:v>329.5</c:v>
                </c:pt>
                <c:pt idx="22">
                  <c:v>329</c:v>
                </c:pt>
                <c:pt idx="23">
                  <c:v>328.5</c:v>
                </c:pt>
                <c:pt idx="24">
                  <c:v>328</c:v>
                </c:pt>
              </c:numCache>
            </c:numRef>
          </c:xVal>
          <c:yVal>
            <c:numRef>
              <c:f>'Registro Original'!$F$252:$F$276</c:f>
              <c:numCache>
                <c:formatCode>General</c:formatCode>
                <c:ptCount val="25"/>
                <c:pt idx="6">
                  <c:v>7.2999999999999995E-2</c:v>
                </c:pt>
                <c:pt idx="7">
                  <c:v>7.4999999999999997E-2</c:v>
                </c:pt>
                <c:pt idx="8">
                  <c:v>8.1000000000000003E-2</c:v>
                </c:pt>
                <c:pt idx="9">
                  <c:v>0.09</c:v>
                </c:pt>
                <c:pt idx="10">
                  <c:v>9.9000000000000005E-2</c:v>
                </c:pt>
                <c:pt idx="11">
                  <c:v>0.10299999999999999</c:v>
                </c:pt>
                <c:pt idx="12">
                  <c:v>9.9000000000000005E-2</c:v>
                </c:pt>
                <c:pt idx="13">
                  <c:v>0.09</c:v>
                </c:pt>
                <c:pt idx="14">
                  <c:v>7.3999999999999996E-2</c:v>
                </c:pt>
                <c:pt idx="15">
                  <c:v>6.4000000000000001E-2</c:v>
                </c:pt>
                <c:pt idx="16">
                  <c:v>5.8000000000000003E-2</c:v>
                </c:pt>
                <c:pt idx="17">
                  <c:v>5.5E-2</c:v>
                </c:pt>
                <c:pt idx="18">
                  <c:v>5.3999999999999999E-2</c:v>
                </c:pt>
              </c:numCache>
            </c:numRef>
          </c:yVal>
          <c:smooth val="1"/>
          <c:extLst>
            <c:ext xmlns:c16="http://schemas.microsoft.com/office/drawing/2014/chart" uri="{C3380CC4-5D6E-409C-BE32-E72D297353CC}">
              <c16:uniqueId val="{00000001-86ED-41AF-8929-B5C41C8DE582}"/>
            </c:ext>
          </c:extLst>
        </c:ser>
        <c:dLbls>
          <c:showLegendKey val="0"/>
          <c:showVal val="0"/>
          <c:showCatName val="0"/>
          <c:showSerName val="0"/>
          <c:showPercent val="0"/>
          <c:showBubbleSize val="0"/>
        </c:dLbls>
        <c:axId val="77933568"/>
        <c:axId val="77943936"/>
      </c:scatterChart>
      <c:valAx>
        <c:axId val="77933568"/>
        <c:scaling>
          <c:orientation val="minMax"/>
          <c:max val="339.8"/>
          <c:min val="327.8"/>
        </c:scaling>
        <c:delete val="0"/>
        <c:axPos val="t"/>
        <c:title>
          <c:tx>
            <c:rich>
              <a:bodyPr/>
              <a:lstStyle/>
              <a:p>
                <a:pPr>
                  <a:defRPr sz="1000" b="1" i="0" u="none" strike="noStrike" baseline="0">
                    <a:solidFill>
                      <a:srgbClr val="000000"/>
                    </a:solidFill>
                    <a:latin typeface="Arial"/>
                    <a:ea typeface="Arial"/>
                    <a:cs typeface="Arial"/>
                  </a:defRPr>
                </a:pPr>
                <a:r>
                  <a:rPr lang="pt-BR"/>
                  <a:t>Comprimento</a:t>
                </a:r>
                <a:r>
                  <a:rPr lang="pt-BR" baseline="0"/>
                  <a:t> de Onda</a:t>
                </a:r>
                <a:r>
                  <a:rPr lang="pt-BR"/>
                  <a:t> [nm]</a:t>
                </a:r>
              </a:p>
            </c:rich>
          </c:tx>
          <c:layout>
            <c:manualLayout>
              <c:xMode val="edge"/>
              <c:yMode val="edge"/>
              <c:x val="0.43979123805746739"/>
              <c:y val="0.89920390254248539"/>
            </c:manualLayout>
          </c:layout>
          <c:overlay val="0"/>
          <c:spPr>
            <a:noFill/>
            <a:ln w="25400">
              <a:noFill/>
            </a:ln>
          </c:spPr>
        </c:title>
        <c:numFmt formatCode="0.0" sourceLinked="0"/>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pt-BR"/>
          </a:p>
        </c:txPr>
        <c:crossAx val="77943936"/>
        <c:crosses val="max"/>
        <c:crossBetween val="midCat"/>
        <c:majorUnit val="1"/>
        <c:minorUnit val="0.2"/>
      </c:valAx>
      <c:valAx>
        <c:axId val="77943936"/>
        <c:scaling>
          <c:orientation val="minMax"/>
          <c:max val="0.18000000000000008"/>
          <c:min val="6.0000000000000026E-2"/>
        </c:scaling>
        <c:delete val="0"/>
        <c:axPos val="l"/>
        <c:majorGridlines>
          <c:spPr>
            <a:ln w="3175">
              <a:solidFill>
                <a:schemeClr val="bg1">
                  <a:lumMod val="65000"/>
                </a:schemeClr>
              </a:solidFill>
              <a:prstDash val="solid"/>
            </a:ln>
          </c:spPr>
        </c:majorGridlines>
        <c:title>
          <c:tx>
            <c:rich>
              <a:bodyPr/>
              <a:lstStyle/>
              <a:p>
                <a:pPr>
                  <a:defRPr sz="1000" b="1" i="0" u="none" strike="noStrike" baseline="0">
                    <a:solidFill>
                      <a:srgbClr val="000000"/>
                    </a:solidFill>
                    <a:latin typeface="Arial"/>
                    <a:ea typeface="Arial"/>
                    <a:cs typeface="Arial"/>
                  </a:defRPr>
                </a:pPr>
                <a:r>
                  <a:rPr lang="pt-BR"/>
                  <a:t>Absorbância </a:t>
                </a:r>
              </a:p>
            </c:rich>
          </c:tx>
          <c:layout>
            <c:manualLayout>
              <c:xMode val="edge"/>
              <c:yMode val="edge"/>
              <c:x val="1.8593473297474759E-2"/>
              <c:y val="0.33949892627057993"/>
            </c:manualLayout>
          </c:layout>
          <c:overlay val="0"/>
          <c:spPr>
            <a:noFill/>
            <a:ln w="25400">
              <a:noFill/>
            </a:ln>
          </c:spPr>
        </c:title>
        <c:numFmt formatCode="0.00" sourceLinked="0"/>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pt-BR"/>
          </a:p>
        </c:txPr>
        <c:crossAx val="77933568"/>
        <c:crossesAt val="284"/>
        <c:crossBetween val="midCat"/>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pt-BR"/>
    </a:p>
  </c:txPr>
  <c:printSettings>
    <c:headerFooter alignWithMargins="0"/>
    <c:pageMargins b="0.98425196899999978" l="0.78740157499999996" r="0.78740157499999996" t="0.98425196899999978" header="0.5" footer="0.5"/>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BR" sz="1100" b="1"/>
              <a:t>Pico 6  -  385,8 nm</a:t>
            </a:r>
          </a:p>
        </c:rich>
      </c:tx>
      <c:layout>
        <c:manualLayout>
          <c:xMode val="edge"/>
          <c:yMode val="edge"/>
          <c:x val="0.57254488519470215"/>
          <c:y val="0.15273645575179606"/>
        </c:manualLayout>
      </c:layout>
      <c:overlay val="0"/>
    </c:title>
    <c:autoTitleDeleted val="0"/>
    <c:plotArea>
      <c:layout>
        <c:manualLayout>
          <c:layoutTarget val="inner"/>
          <c:xMode val="edge"/>
          <c:yMode val="edge"/>
          <c:x val="7.7751327595678474E-2"/>
          <c:y val="6.1360000623067519E-2"/>
          <c:w val="0.81675531869566498"/>
          <c:h val="0.74801061007957614"/>
        </c:manualLayout>
      </c:layout>
      <c:scatterChart>
        <c:scatterStyle val="smoothMarker"/>
        <c:varyColors val="0"/>
        <c:ser>
          <c:idx val="0"/>
          <c:order val="0"/>
          <c:tx>
            <c:v>Pico 6</c:v>
          </c:tx>
          <c:spPr>
            <a:ln w="12700">
              <a:solidFill>
                <a:srgbClr val="000080"/>
              </a:solidFill>
              <a:prstDash val="solid"/>
            </a:ln>
          </c:spPr>
          <c:marker>
            <c:symbol val="none"/>
          </c:marker>
          <c:xVal>
            <c:numRef>
              <c:f>'Registro Original'!$AA$2885:$AA$3005</c:f>
              <c:numCache>
                <c:formatCode>0.0</c:formatCode>
                <c:ptCount val="121"/>
                <c:pt idx="0">
                  <c:v>392</c:v>
                </c:pt>
                <c:pt idx="1">
                  <c:v>391.9</c:v>
                </c:pt>
                <c:pt idx="2">
                  <c:v>391.8</c:v>
                </c:pt>
                <c:pt idx="3">
                  <c:v>391.7</c:v>
                </c:pt>
                <c:pt idx="4">
                  <c:v>391.6</c:v>
                </c:pt>
                <c:pt idx="5">
                  <c:v>391.5</c:v>
                </c:pt>
                <c:pt idx="6">
                  <c:v>391.4</c:v>
                </c:pt>
                <c:pt idx="7">
                  <c:v>391.3</c:v>
                </c:pt>
                <c:pt idx="8">
                  <c:v>391.2</c:v>
                </c:pt>
                <c:pt idx="9">
                  <c:v>391.1</c:v>
                </c:pt>
                <c:pt idx="10">
                  <c:v>391</c:v>
                </c:pt>
                <c:pt idx="11">
                  <c:v>390.9</c:v>
                </c:pt>
                <c:pt idx="12">
                  <c:v>390.8</c:v>
                </c:pt>
                <c:pt idx="13">
                  <c:v>390.7</c:v>
                </c:pt>
                <c:pt idx="14">
                  <c:v>390.6</c:v>
                </c:pt>
                <c:pt idx="15">
                  <c:v>390.5</c:v>
                </c:pt>
                <c:pt idx="16">
                  <c:v>390.4</c:v>
                </c:pt>
                <c:pt idx="17">
                  <c:v>390.3</c:v>
                </c:pt>
                <c:pt idx="18">
                  <c:v>390.2</c:v>
                </c:pt>
                <c:pt idx="19">
                  <c:v>390.1</c:v>
                </c:pt>
                <c:pt idx="20">
                  <c:v>390</c:v>
                </c:pt>
                <c:pt idx="21">
                  <c:v>389.9</c:v>
                </c:pt>
                <c:pt idx="22">
                  <c:v>389.8</c:v>
                </c:pt>
                <c:pt idx="23">
                  <c:v>389.7</c:v>
                </c:pt>
                <c:pt idx="24">
                  <c:v>389.6</c:v>
                </c:pt>
                <c:pt idx="25">
                  <c:v>389.5</c:v>
                </c:pt>
                <c:pt idx="26">
                  <c:v>389.4</c:v>
                </c:pt>
                <c:pt idx="27">
                  <c:v>389.3</c:v>
                </c:pt>
                <c:pt idx="28">
                  <c:v>389.2</c:v>
                </c:pt>
                <c:pt idx="29">
                  <c:v>389.1</c:v>
                </c:pt>
                <c:pt idx="30">
                  <c:v>389</c:v>
                </c:pt>
                <c:pt idx="31">
                  <c:v>388.9</c:v>
                </c:pt>
                <c:pt idx="32">
                  <c:v>388.8</c:v>
                </c:pt>
                <c:pt idx="33">
                  <c:v>388.7</c:v>
                </c:pt>
                <c:pt idx="34">
                  <c:v>388.6</c:v>
                </c:pt>
                <c:pt idx="35">
                  <c:v>388.5</c:v>
                </c:pt>
                <c:pt idx="36">
                  <c:v>388.4</c:v>
                </c:pt>
                <c:pt idx="37">
                  <c:v>388.3</c:v>
                </c:pt>
                <c:pt idx="38">
                  <c:v>388.2</c:v>
                </c:pt>
                <c:pt idx="39">
                  <c:v>388.1</c:v>
                </c:pt>
                <c:pt idx="40">
                  <c:v>388</c:v>
                </c:pt>
                <c:pt idx="41">
                  <c:v>387.9</c:v>
                </c:pt>
                <c:pt idx="42">
                  <c:v>387.8</c:v>
                </c:pt>
                <c:pt idx="43">
                  <c:v>387.7</c:v>
                </c:pt>
                <c:pt idx="44">
                  <c:v>387.6</c:v>
                </c:pt>
                <c:pt idx="45">
                  <c:v>387.5</c:v>
                </c:pt>
                <c:pt idx="46">
                  <c:v>387.4</c:v>
                </c:pt>
                <c:pt idx="47">
                  <c:v>387.3</c:v>
                </c:pt>
                <c:pt idx="48">
                  <c:v>387.2</c:v>
                </c:pt>
                <c:pt idx="49">
                  <c:v>387.1</c:v>
                </c:pt>
                <c:pt idx="50">
                  <c:v>387</c:v>
                </c:pt>
                <c:pt idx="51">
                  <c:v>386.9</c:v>
                </c:pt>
                <c:pt idx="52">
                  <c:v>386.8</c:v>
                </c:pt>
                <c:pt idx="53">
                  <c:v>386.7</c:v>
                </c:pt>
                <c:pt idx="54">
                  <c:v>386.6</c:v>
                </c:pt>
                <c:pt idx="55">
                  <c:v>386.5</c:v>
                </c:pt>
                <c:pt idx="56">
                  <c:v>386.4</c:v>
                </c:pt>
                <c:pt idx="57">
                  <c:v>386.3</c:v>
                </c:pt>
                <c:pt idx="58">
                  <c:v>386.2</c:v>
                </c:pt>
                <c:pt idx="59">
                  <c:v>386.1</c:v>
                </c:pt>
                <c:pt idx="60">
                  <c:v>386</c:v>
                </c:pt>
                <c:pt idx="61">
                  <c:v>385.9</c:v>
                </c:pt>
                <c:pt idx="62">
                  <c:v>385.8</c:v>
                </c:pt>
                <c:pt idx="63">
                  <c:v>385.7</c:v>
                </c:pt>
                <c:pt idx="64">
                  <c:v>385.6</c:v>
                </c:pt>
                <c:pt idx="65">
                  <c:v>385.5</c:v>
                </c:pt>
                <c:pt idx="66">
                  <c:v>385.4</c:v>
                </c:pt>
                <c:pt idx="67">
                  <c:v>385.3</c:v>
                </c:pt>
                <c:pt idx="68">
                  <c:v>385.2</c:v>
                </c:pt>
                <c:pt idx="69">
                  <c:v>385.1</c:v>
                </c:pt>
                <c:pt idx="70">
                  <c:v>385</c:v>
                </c:pt>
                <c:pt idx="71">
                  <c:v>384.9</c:v>
                </c:pt>
                <c:pt idx="72">
                  <c:v>384.8</c:v>
                </c:pt>
                <c:pt idx="73">
                  <c:v>384.7</c:v>
                </c:pt>
                <c:pt idx="74">
                  <c:v>384.6</c:v>
                </c:pt>
                <c:pt idx="75">
                  <c:v>384.5</c:v>
                </c:pt>
                <c:pt idx="76">
                  <c:v>384.4</c:v>
                </c:pt>
                <c:pt idx="77">
                  <c:v>384.3</c:v>
                </c:pt>
                <c:pt idx="78">
                  <c:v>384.2</c:v>
                </c:pt>
                <c:pt idx="79">
                  <c:v>384.1</c:v>
                </c:pt>
                <c:pt idx="80">
                  <c:v>384</c:v>
                </c:pt>
                <c:pt idx="81">
                  <c:v>383.9</c:v>
                </c:pt>
                <c:pt idx="82">
                  <c:v>383.8</c:v>
                </c:pt>
                <c:pt idx="83">
                  <c:v>383.7</c:v>
                </c:pt>
                <c:pt idx="84">
                  <c:v>383.6</c:v>
                </c:pt>
                <c:pt idx="85">
                  <c:v>383.5</c:v>
                </c:pt>
                <c:pt idx="86">
                  <c:v>383.4</c:v>
                </c:pt>
                <c:pt idx="87">
                  <c:v>383.3</c:v>
                </c:pt>
                <c:pt idx="88">
                  <c:v>383.2</c:v>
                </c:pt>
                <c:pt idx="89">
                  <c:v>383.1</c:v>
                </c:pt>
                <c:pt idx="90">
                  <c:v>383</c:v>
                </c:pt>
                <c:pt idx="91">
                  <c:v>382.9</c:v>
                </c:pt>
                <c:pt idx="92">
                  <c:v>382.8</c:v>
                </c:pt>
                <c:pt idx="93">
                  <c:v>382.7</c:v>
                </c:pt>
                <c:pt idx="94">
                  <c:v>382.6</c:v>
                </c:pt>
                <c:pt idx="95">
                  <c:v>382.5</c:v>
                </c:pt>
                <c:pt idx="96">
                  <c:v>382.4</c:v>
                </c:pt>
                <c:pt idx="97">
                  <c:v>382.3</c:v>
                </c:pt>
                <c:pt idx="98">
                  <c:v>382.2</c:v>
                </c:pt>
                <c:pt idx="99">
                  <c:v>382.1</c:v>
                </c:pt>
                <c:pt idx="100">
                  <c:v>382</c:v>
                </c:pt>
                <c:pt idx="101">
                  <c:v>381.9</c:v>
                </c:pt>
                <c:pt idx="102">
                  <c:v>381.8</c:v>
                </c:pt>
                <c:pt idx="103">
                  <c:v>381.7</c:v>
                </c:pt>
                <c:pt idx="104">
                  <c:v>381.6</c:v>
                </c:pt>
                <c:pt idx="105">
                  <c:v>381.5</c:v>
                </c:pt>
                <c:pt idx="106">
                  <c:v>381.4</c:v>
                </c:pt>
                <c:pt idx="107">
                  <c:v>381.3</c:v>
                </c:pt>
                <c:pt idx="108">
                  <c:v>381.2</c:v>
                </c:pt>
                <c:pt idx="109">
                  <c:v>381.1</c:v>
                </c:pt>
                <c:pt idx="110">
                  <c:v>381</c:v>
                </c:pt>
                <c:pt idx="111">
                  <c:v>380.9</c:v>
                </c:pt>
                <c:pt idx="112">
                  <c:v>380.8</c:v>
                </c:pt>
                <c:pt idx="113">
                  <c:v>380.7</c:v>
                </c:pt>
                <c:pt idx="114">
                  <c:v>380.6</c:v>
                </c:pt>
                <c:pt idx="115">
                  <c:v>380.5</c:v>
                </c:pt>
                <c:pt idx="116">
                  <c:v>380.4</c:v>
                </c:pt>
                <c:pt idx="117">
                  <c:v>380.3</c:v>
                </c:pt>
                <c:pt idx="118">
                  <c:v>380.2</c:v>
                </c:pt>
                <c:pt idx="119">
                  <c:v>380.1</c:v>
                </c:pt>
                <c:pt idx="120">
                  <c:v>380</c:v>
                </c:pt>
              </c:numCache>
            </c:numRef>
          </c:xVal>
          <c:yVal>
            <c:numRef>
              <c:f>'Registro Original'!$AC$2885:$AC$3005</c:f>
              <c:numCache>
                <c:formatCode>0.0000</c:formatCode>
                <c:ptCount val="121"/>
                <c:pt idx="0">
                  <c:v>6.2286569044188493E-2</c:v>
                </c:pt>
                <c:pt idx="1">
                  <c:v>6.3008996988032639E-2</c:v>
                </c:pt>
                <c:pt idx="2">
                  <c:v>6.364210873380674E-2</c:v>
                </c:pt>
                <c:pt idx="3">
                  <c:v>6.4235860985537269E-2</c:v>
                </c:pt>
                <c:pt idx="4">
                  <c:v>6.4558235962260041E-2</c:v>
                </c:pt>
                <c:pt idx="5">
                  <c:v>6.4976672732450946E-2</c:v>
                </c:pt>
                <c:pt idx="6">
                  <c:v>6.5425806324143701E-2</c:v>
                </c:pt>
                <c:pt idx="7">
                  <c:v>6.600178038349562E-2</c:v>
                </c:pt>
                <c:pt idx="8">
                  <c:v>6.6371007469061147E-2</c:v>
                </c:pt>
                <c:pt idx="9">
                  <c:v>6.6593707019470968E-2</c:v>
                </c:pt>
                <c:pt idx="10">
                  <c:v>6.6902638602592296E-2</c:v>
                </c:pt>
                <c:pt idx="11">
                  <c:v>6.6532959452256416E-2</c:v>
                </c:pt>
                <c:pt idx="12">
                  <c:v>6.6563332173719458E-2</c:v>
                </c:pt>
                <c:pt idx="13">
                  <c:v>6.6755742085954056E-2</c:v>
                </c:pt>
                <c:pt idx="14">
                  <c:v>6.6527897538519759E-2</c:v>
                </c:pt>
                <c:pt idx="15">
                  <c:v>6.641655036046866E-2</c:v>
                </c:pt>
                <c:pt idx="16">
                  <c:v>6.6315350420152838E-2</c:v>
                </c:pt>
                <c:pt idx="17">
                  <c:v>6.592089582273318E-2</c:v>
                </c:pt>
                <c:pt idx="18">
                  <c:v>6.5915841037830089E-2</c:v>
                </c:pt>
                <c:pt idx="19">
                  <c:v>6.5067471277113653E-2</c:v>
                </c:pt>
                <c:pt idx="20">
                  <c:v>6.4694309710074865E-2</c:v>
                </c:pt>
                <c:pt idx="21">
                  <c:v>6.4261037915108496E-2</c:v>
                </c:pt>
                <c:pt idx="22">
                  <c:v>6.3486257521106662E-2</c:v>
                </c:pt>
                <c:pt idx="23">
                  <c:v>6.339578892752816E-2</c:v>
                </c:pt>
                <c:pt idx="24">
                  <c:v>6.2687769531758974E-2</c:v>
                </c:pt>
                <c:pt idx="25">
                  <c:v>6.2015968084394517E-2</c:v>
                </c:pt>
                <c:pt idx="26">
                  <c:v>6.2096128570409137E-2</c:v>
                </c:pt>
                <c:pt idx="27">
                  <c:v>6.1785589069725762E-2</c:v>
                </c:pt>
                <c:pt idx="28">
                  <c:v>6.1955857428087534E-2</c:v>
                </c:pt>
                <c:pt idx="29">
                  <c:v>6.2196349988903089E-2</c:v>
                </c:pt>
                <c:pt idx="30">
                  <c:v>6.2356752380136854E-2</c:v>
                </c:pt>
                <c:pt idx="31">
                  <c:v>6.2597467102426876E-2</c:v>
                </c:pt>
                <c:pt idx="32">
                  <c:v>6.3149608747835609E-2</c:v>
                </c:pt>
                <c:pt idx="33">
                  <c:v>6.3792985758474224E-2</c:v>
                </c:pt>
                <c:pt idx="34">
                  <c:v>6.4759841908713908E-2</c:v>
                </c:pt>
                <c:pt idx="35">
                  <c:v>6.5784437276491053E-2</c:v>
                </c:pt>
                <c:pt idx="36">
                  <c:v>6.6846913385103457E-2</c:v>
                </c:pt>
                <c:pt idx="37">
                  <c:v>6.8181214820066255E-2</c:v>
                </c:pt>
                <c:pt idx="38">
                  <c:v>6.9448277941577638E-2</c:v>
                </c:pt>
                <c:pt idx="39">
                  <c:v>7.0974672296517702E-2</c:v>
                </c:pt>
                <c:pt idx="40">
                  <c:v>7.2968580488126655E-2</c:v>
                </c:pt>
                <c:pt idx="41">
                  <c:v>7.5116224652844968E-2</c:v>
                </c:pt>
                <c:pt idx="42">
                  <c:v>7.6921853416771185E-2</c:v>
                </c:pt>
                <c:pt idx="43">
                  <c:v>7.8776672092682409E-2</c:v>
                </c:pt>
                <c:pt idx="44">
                  <c:v>8.0911442822732771E-2</c:v>
                </c:pt>
                <c:pt idx="45">
                  <c:v>8.3367106352778345E-2</c:v>
                </c:pt>
                <c:pt idx="46">
                  <c:v>8.5144032912766315E-2</c:v>
                </c:pt>
                <c:pt idx="47">
                  <c:v>8.7857686617161868E-2</c:v>
                </c:pt>
                <c:pt idx="48">
                  <c:v>8.9909454405931857E-2</c:v>
                </c:pt>
                <c:pt idx="49">
                  <c:v>9.2169596780349264E-2</c:v>
                </c:pt>
                <c:pt idx="50">
                  <c:v>9.3988374728587176E-2</c:v>
                </c:pt>
                <c:pt idx="51">
                  <c:v>9.6259059378461367E-2</c:v>
                </c:pt>
                <c:pt idx="52">
                  <c:v>9.8029763597359446E-2</c:v>
                </c:pt>
                <c:pt idx="53">
                  <c:v>9.9966231496756361E-2</c:v>
                </c:pt>
                <c:pt idx="54">
                  <c:v>0.10180704546895668</c:v>
                </c:pt>
                <c:pt idx="55">
                  <c:v>0.10338560984099084</c:v>
                </c:pt>
                <c:pt idx="56">
                  <c:v>0.10487039761734152</c:v>
                </c:pt>
                <c:pt idx="57">
                  <c:v>0.10601643278815294</c:v>
                </c:pt>
                <c:pt idx="58">
                  <c:v>0.10694877664653492</c:v>
                </c:pt>
                <c:pt idx="59">
                  <c:v>0.10782188716948662</c:v>
                </c:pt>
                <c:pt idx="60">
                  <c:v>0.10838449898392329</c:v>
                </c:pt>
                <c:pt idx="61">
                  <c:v>0.10878043509402868</c:v>
                </c:pt>
                <c:pt idx="62">
                  <c:v>0.10875254045130357</c:v>
                </c:pt>
                <c:pt idx="63">
                  <c:v>0.10818388047513947</c:v>
                </c:pt>
                <c:pt idx="64">
                  <c:v>0.10719329305995173</c:v>
                </c:pt>
                <c:pt idx="65">
                  <c:v>0.10572825534018326</c:v>
                </c:pt>
                <c:pt idx="66">
                  <c:v>0.10494228190987379</c:v>
                </c:pt>
                <c:pt idx="67">
                  <c:v>0.10339112010841167</c:v>
                </c:pt>
                <c:pt idx="68">
                  <c:v>0.10165883427249074</c:v>
                </c:pt>
                <c:pt idx="69">
                  <c:v>9.927247455916953E-2</c:v>
                </c:pt>
                <c:pt idx="70">
                  <c:v>9.668206823532581E-2</c:v>
                </c:pt>
                <c:pt idx="71">
                  <c:v>9.43983817231481E-2</c:v>
                </c:pt>
                <c:pt idx="72">
                  <c:v>9.1740229255419914E-2</c:v>
                </c:pt>
                <c:pt idx="73">
                  <c:v>8.9242232763089319E-2</c:v>
                </c:pt>
                <c:pt idx="74">
                  <c:v>8.6869904958803312E-2</c:v>
                </c:pt>
                <c:pt idx="75">
                  <c:v>8.4710995260262725E-2</c:v>
                </c:pt>
                <c:pt idx="76">
                  <c:v>8.2436728396465445E-2</c:v>
                </c:pt>
                <c:pt idx="77">
                  <c:v>8.0247443810556943E-2</c:v>
                </c:pt>
                <c:pt idx="78">
                  <c:v>7.8573658984734479E-2</c:v>
                </c:pt>
                <c:pt idx="79">
                  <c:v>7.7082602398505576E-2</c:v>
                </c:pt>
                <c:pt idx="80">
                  <c:v>7.5834472628619504E-2</c:v>
                </c:pt>
                <c:pt idx="81">
                  <c:v>7.516269396883081E-2</c:v>
                </c:pt>
                <c:pt idx="82">
                  <c:v>7.4765283768287435E-2</c:v>
                </c:pt>
                <c:pt idx="83">
                  <c:v>7.4038499923441678E-2</c:v>
                </c:pt>
                <c:pt idx="84">
                  <c:v>7.3729598718871053E-2</c:v>
                </c:pt>
                <c:pt idx="85">
                  <c:v>7.3863428932551212E-2</c:v>
                </c:pt>
                <c:pt idx="86">
                  <c:v>7.4450710268701675E-2</c:v>
                </c:pt>
                <c:pt idx="87">
                  <c:v>7.5007815581289022E-2</c:v>
                </c:pt>
                <c:pt idx="88">
                  <c:v>7.6636799954924117E-2</c:v>
                </c:pt>
                <c:pt idx="89">
                  <c:v>7.801716116222393E-2</c:v>
                </c:pt>
                <c:pt idx="90">
                  <c:v>7.9459283497520267E-2</c:v>
                </c:pt>
                <c:pt idx="91">
                  <c:v>8.1183609639620485E-2</c:v>
                </c:pt>
                <c:pt idx="92">
                  <c:v>8.2851735583720429E-2</c:v>
                </c:pt>
                <c:pt idx="93">
                  <c:v>8.5313140414457617E-2</c:v>
                </c:pt>
                <c:pt idx="94">
                  <c:v>8.7533489070474688E-2</c:v>
                </c:pt>
                <c:pt idx="95">
                  <c:v>8.956237122483926E-2</c:v>
                </c:pt>
                <c:pt idx="96">
                  <c:v>9.1944125901232909E-2</c:v>
                </c:pt>
                <c:pt idx="97">
                  <c:v>9.4004551879215317E-2</c:v>
                </c:pt>
                <c:pt idx="98">
                  <c:v>9.5831046892762908E-2</c:v>
                </c:pt>
                <c:pt idx="99">
                  <c:v>9.758912883354344E-2</c:v>
                </c:pt>
                <c:pt idx="100">
                  <c:v>9.9250641938920484E-2</c:v>
                </c:pt>
                <c:pt idx="101">
                  <c:v>0.10060634416399224</c:v>
                </c:pt>
                <c:pt idx="102">
                  <c:v>0.1012912692706347</c:v>
                </c:pt>
                <c:pt idx="103">
                  <c:v>0.101318688755703</c:v>
                </c:pt>
                <c:pt idx="104">
                  <c:v>0.10081444714405721</c:v>
                </c:pt>
                <c:pt idx="105">
                  <c:v>0.10010839724387081</c:v>
                </c:pt>
                <c:pt idx="106">
                  <c:v>9.884693631033234E-2</c:v>
                </c:pt>
                <c:pt idx="107">
                  <c:v>9.7192396205778284E-2</c:v>
                </c:pt>
                <c:pt idx="108">
                  <c:v>9.5241189680248875E-2</c:v>
                </c:pt>
                <c:pt idx="109">
                  <c:v>9.2776802591296212E-2</c:v>
                </c:pt>
                <c:pt idx="110">
                  <c:v>9.0016305060155982E-2</c:v>
                </c:pt>
                <c:pt idx="111">
                  <c:v>8.7193607338707652E-2</c:v>
                </c:pt>
                <c:pt idx="112">
                  <c:v>8.4557951093888264E-2</c:v>
                </c:pt>
                <c:pt idx="113">
                  <c:v>8.1765152380024061E-2</c:v>
                </c:pt>
                <c:pt idx="114">
                  <c:v>7.9063134011056038E-2</c:v>
                </c:pt>
                <c:pt idx="115">
                  <c:v>7.648657433869295E-2</c:v>
                </c:pt>
                <c:pt idx="116">
                  <c:v>7.397155268156072E-2</c:v>
                </c:pt>
                <c:pt idx="117">
                  <c:v>7.1317444156382775E-2</c:v>
                </c:pt>
                <c:pt idx="118">
                  <c:v>6.9280141265289183E-2</c:v>
                </c:pt>
                <c:pt idx="119">
                  <c:v>6.7161094441219621E-2</c:v>
                </c:pt>
                <c:pt idx="120">
                  <c:v>6.5622764131058317E-2</c:v>
                </c:pt>
              </c:numCache>
            </c:numRef>
          </c:yVal>
          <c:smooth val="1"/>
          <c:extLst>
            <c:ext xmlns:c16="http://schemas.microsoft.com/office/drawing/2014/chart" uri="{C3380CC4-5D6E-409C-BE32-E72D297353CC}">
              <c16:uniqueId val="{00000000-9E72-43DA-A4B0-CCD4E40284F6}"/>
            </c:ext>
          </c:extLst>
        </c:ser>
        <c:ser>
          <c:idx val="1"/>
          <c:order val="1"/>
          <c:tx>
            <c:v>Pico 6 - CAL1</c:v>
          </c:tx>
          <c:spPr>
            <a:ln>
              <a:solidFill>
                <a:srgbClr val="FF0000"/>
              </a:solidFill>
            </a:ln>
          </c:spPr>
          <c:marker>
            <c:symbol val="none"/>
          </c:marker>
          <c:xVal>
            <c:numRef>
              <c:f>'Registro Original'!$B$202:$B$226</c:f>
              <c:numCache>
                <c:formatCode>0.0</c:formatCode>
                <c:ptCount val="25"/>
                <c:pt idx="0">
                  <c:v>398</c:v>
                </c:pt>
                <c:pt idx="1">
                  <c:v>397</c:v>
                </c:pt>
                <c:pt idx="2">
                  <c:v>396</c:v>
                </c:pt>
                <c:pt idx="3">
                  <c:v>395</c:v>
                </c:pt>
                <c:pt idx="4">
                  <c:v>394</c:v>
                </c:pt>
                <c:pt idx="5">
                  <c:v>393</c:v>
                </c:pt>
                <c:pt idx="6">
                  <c:v>392</c:v>
                </c:pt>
                <c:pt idx="7">
                  <c:v>391</c:v>
                </c:pt>
                <c:pt idx="8">
                  <c:v>390</c:v>
                </c:pt>
                <c:pt idx="9">
                  <c:v>389</c:v>
                </c:pt>
                <c:pt idx="10">
                  <c:v>388</c:v>
                </c:pt>
                <c:pt idx="11">
                  <c:v>387</c:v>
                </c:pt>
                <c:pt idx="12">
                  <c:v>386</c:v>
                </c:pt>
                <c:pt idx="13">
                  <c:v>385</c:v>
                </c:pt>
                <c:pt idx="14">
                  <c:v>384</c:v>
                </c:pt>
                <c:pt idx="15">
                  <c:v>383</c:v>
                </c:pt>
                <c:pt idx="16">
                  <c:v>382</c:v>
                </c:pt>
                <c:pt idx="17">
                  <c:v>381</c:v>
                </c:pt>
                <c:pt idx="18">
                  <c:v>380</c:v>
                </c:pt>
                <c:pt idx="19">
                  <c:v>379</c:v>
                </c:pt>
                <c:pt idx="20">
                  <c:v>378</c:v>
                </c:pt>
                <c:pt idx="21">
                  <c:v>377</c:v>
                </c:pt>
                <c:pt idx="22">
                  <c:v>376</c:v>
                </c:pt>
                <c:pt idx="23">
                  <c:v>375</c:v>
                </c:pt>
                <c:pt idx="24">
                  <c:v>374</c:v>
                </c:pt>
              </c:numCache>
            </c:numRef>
          </c:xVal>
          <c:yVal>
            <c:numRef>
              <c:f>'Registro Original'!$C$202:$C$226</c:f>
              <c:numCache>
                <c:formatCode>0.000</c:formatCode>
                <c:ptCount val="25"/>
                <c:pt idx="6">
                  <c:v>5.7000000000000002E-2</c:v>
                </c:pt>
                <c:pt idx="7">
                  <c:v>5.8999999999999997E-2</c:v>
                </c:pt>
                <c:pt idx="8">
                  <c:v>6.2E-2</c:v>
                </c:pt>
                <c:pt idx="9">
                  <c:v>6.8000000000000005E-2</c:v>
                </c:pt>
                <c:pt idx="10">
                  <c:v>7.2999999999999995E-2</c:v>
                </c:pt>
                <c:pt idx="11">
                  <c:v>7.8E-2</c:v>
                </c:pt>
                <c:pt idx="12">
                  <c:v>0.08</c:v>
                </c:pt>
                <c:pt idx="13">
                  <c:v>0.08</c:v>
                </c:pt>
                <c:pt idx="14">
                  <c:v>7.9000000000000001E-2</c:v>
                </c:pt>
                <c:pt idx="15">
                  <c:v>7.5999999999999998E-2</c:v>
                </c:pt>
                <c:pt idx="16">
                  <c:v>7.2999999999999995E-2</c:v>
                </c:pt>
                <c:pt idx="17">
                  <c:v>6.9000000000000006E-2</c:v>
                </c:pt>
                <c:pt idx="18">
                  <c:v>6.3E-2</c:v>
                </c:pt>
              </c:numCache>
            </c:numRef>
          </c:yVal>
          <c:smooth val="1"/>
          <c:extLst>
            <c:ext xmlns:c16="http://schemas.microsoft.com/office/drawing/2014/chart" uri="{C3380CC4-5D6E-409C-BE32-E72D297353CC}">
              <c16:uniqueId val="{00000001-9E72-43DA-A4B0-CCD4E40284F6}"/>
            </c:ext>
          </c:extLst>
        </c:ser>
        <c:ser>
          <c:idx val="2"/>
          <c:order val="2"/>
          <c:tx>
            <c:v>Pico 6 - Largura de banda</c:v>
          </c:tx>
          <c:spPr>
            <a:ln w="15875">
              <a:solidFill>
                <a:srgbClr val="FFC000"/>
              </a:solidFill>
            </a:ln>
          </c:spPr>
          <c:marker>
            <c:symbol val="none"/>
          </c:marker>
          <c:xVal>
            <c:numRef>
              <c:f>'Registro Original'!$AE$204:$CM$204</c:f>
              <c:numCache>
                <c:formatCode>0.0</c:formatCode>
                <c:ptCount val="61"/>
                <c:pt idx="0">
                  <c:v>380</c:v>
                </c:pt>
                <c:pt idx="1">
                  <c:v>380.2</c:v>
                </c:pt>
                <c:pt idx="2">
                  <c:v>380.4</c:v>
                </c:pt>
                <c:pt idx="3">
                  <c:v>380.59999999999997</c:v>
                </c:pt>
                <c:pt idx="4">
                  <c:v>380.79999999999995</c:v>
                </c:pt>
                <c:pt idx="5">
                  <c:v>380.99999999999994</c:v>
                </c:pt>
                <c:pt idx="6">
                  <c:v>381.19999999999993</c:v>
                </c:pt>
                <c:pt idx="7">
                  <c:v>381.39999999999992</c:v>
                </c:pt>
                <c:pt idx="8">
                  <c:v>381.59999999999991</c:v>
                </c:pt>
                <c:pt idx="9">
                  <c:v>381.7999999999999</c:v>
                </c:pt>
                <c:pt idx="10">
                  <c:v>381.99999999999989</c:v>
                </c:pt>
                <c:pt idx="11">
                  <c:v>382.19999999999987</c:v>
                </c:pt>
                <c:pt idx="12">
                  <c:v>382.39999999999986</c:v>
                </c:pt>
                <c:pt idx="13">
                  <c:v>382.59999999999985</c:v>
                </c:pt>
                <c:pt idx="14">
                  <c:v>382.79999999999984</c:v>
                </c:pt>
                <c:pt idx="15">
                  <c:v>382.99999999999983</c:v>
                </c:pt>
                <c:pt idx="16">
                  <c:v>383.19999999999982</c:v>
                </c:pt>
                <c:pt idx="17">
                  <c:v>383.39999999999981</c:v>
                </c:pt>
                <c:pt idx="18">
                  <c:v>383.5999999999998</c:v>
                </c:pt>
                <c:pt idx="19">
                  <c:v>383.79999999999978</c:v>
                </c:pt>
                <c:pt idx="20">
                  <c:v>383.99999999999977</c:v>
                </c:pt>
                <c:pt idx="21">
                  <c:v>384.19999999999976</c:v>
                </c:pt>
                <c:pt idx="22">
                  <c:v>384.39999999999975</c:v>
                </c:pt>
                <c:pt idx="23">
                  <c:v>384.59999999999974</c:v>
                </c:pt>
                <c:pt idx="24">
                  <c:v>384.79999999999973</c:v>
                </c:pt>
                <c:pt idx="25">
                  <c:v>384.99999999999972</c:v>
                </c:pt>
                <c:pt idx="26">
                  <c:v>385.1999999999997</c:v>
                </c:pt>
                <c:pt idx="27">
                  <c:v>385.39999999999969</c:v>
                </c:pt>
                <c:pt idx="28">
                  <c:v>385.59999999999968</c:v>
                </c:pt>
                <c:pt idx="29">
                  <c:v>385.79999999999967</c:v>
                </c:pt>
                <c:pt idx="30">
                  <c:v>385.99999999999966</c:v>
                </c:pt>
                <c:pt idx="31">
                  <c:v>386.19999999999965</c:v>
                </c:pt>
                <c:pt idx="32">
                  <c:v>386.39999999999964</c:v>
                </c:pt>
                <c:pt idx="33">
                  <c:v>386.59999999999962</c:v>
                </c:pt>
                <c:pt idx="34">
                  <c:v>386.79999999999961</c:v>
                </c:pt>
                <c:pt idx="35">
                  <c:v>386.9999999999996</c:v>
                </c:pt>
                <c:pt idx="36">
                  <c:v>387.19999999999959</c:v>
                </c:pt>
                <c:pt idx="37">
                  <c:v>387.39999999999958</c:v>
                </c:pt>
                <c:pt idx="38">
                  <c:v>387.59999999999957</c:v>
                </c:pt>
                <c:pt idx="39">
                  <c:v>387.79999999999956</c:v>
                </c:pt>
                <c:pt idx="40">
                  <c:v>387.99999999999955</c:v>
                </c:pt>
                <c:pt idx="41">
                  <c:v>388.19999999999953</c:v>
                </c:pt>
                <c:pt idx="42">
                  <c:v>388.39999999999952</c:v>
                </c:pt>
                <c:pt idx="43">
                  <c:v>388.59999999999951</c:v>
                </c:pt>
                <c:pt idx="44">
                  <c:v>388.7999999999995</c:v>
                </c:pt>
                <c:pt idx="45">
                  <c:v>388.99999999999949</c:v>
                </c:pt>
                <c:pt idx="46">
                  <c:v>389.19999999999948</c:v>
                </c:pt>
                <c:pt idx="47">
                  <c:v>389.39999999999947</c:v>
                </c:pt>
                <c:pt idx="48">
                  <c:v>389.59999999999945</c:v>
                </c:pt>
                <c:pt idx="49">
                  <c:v>389.79999999999944</c:v>
                </c:pt>
                <c:pt idx="50">
                  <c:v>389.99999999999943</c:v>
                </c:pt>
                <c:pt idx="51">
                  <c:v>390.19999999999942</c:v>
                </c:pt>
                <c:pt idx="52">
                  <c:v>390.39999999999941</c:v>
                </c:pt>
                <c:pt idx="53">
                  <c:v>390.5999999999994</c:v>
                </c:pt>
                <c:pt idx="54">
                  <c:v>390.79999999999939</c:v>
                </c:pt>
                <c:pt idx="55">
                  <c:v>390.99999999999937</c:v>
                </c:pt>
                <c:pt idx="56">
                  <c:v>391.19999999999936</c:v>
                </c:pt>
                <c:pt idx="57">
                  <c:v>391.39999999999935</c:v>
                </c:pt>
                <c:pt idx="58">
                  <c:v>391.59999999999934</c:v>
                </c:pt>
                <c:pt idx="59">
                  <c:v>391.79999999999933</c:v>
                </c:pt>
                <c:pt idx="60">
                  <c:v>391.99999999999932</c:v>
                </c:pt>
              </c:numCache>
            </c:numRef>
          </c:xVal>
          <c:yVal>
            <c:numRef>
              <c:f>'Registro Original'!$AE$205:$CM$205</c:f>
              <c:numCache>
                <c:formatCode>General</c:formatCode>
                <c:ptCount val="61"/>
                <c:pt idx="0">
                  <c:v>9.1200000000000003E-2</c:v>
                </c:pt>
                <c:pt idx="1">
                  <c:v>9.1200000000000003E-2</c:v>
                </c:pt>
                <c:pt idx="2">
                  <c:v>9.1200000000000003E-2</c:v>
                </c:pt>
                <c:pt idx="3">
                  <c:v>9.1200000000000003E-2</c:v>
                </c:pt>
                <c:pt idx="4">
                  <c:v>9.1200000000000003E-2</c:v>
                </c:pt>
                <c:pt idx="5">
                  <c:v>9.1200000000000003E-2</c:v>
                </c:pt>
                <c:pt idx="6">
                  <c:v>9.1200000000000003E-2</c:v>
                </c:pt>
                <c:pt idx="7">
                  <c:v>9.1200000000000003E-2</c:v>
                </c:pt>
                <c:pt idx="8">
                  <c:v>9.1200000000000003E-2</c:v>
                </c:pt>
                <c:pt idx="9">
                  <c:v>9.1200000000000003E-2</c:v>
                </c:pt>
                <c:pt idx="10">
                  <c:v>9.1200000000000003E-2</c:v>
                </c:pt>
                <c:pt idx="11">
                  <c:v>9.1200000000000003E-2</c:v>
                </c:pt>
                <c:pt idx="12">
                  <c:v>9.1200000000000003E-2</c:v>
                </c:pt>
                <c:pt idx="13">
                  <c:v>9.1200000000000003E-2</c:v>
                </c:pt>
                <c:pt idx="14">
                  <c:v>9.1200000000000003E-2</c:v>
                </c:pt>
                <c:pt idx="15">
                  <c:v>9.1200000000000003E-2</c:v>
                </c:pt>
                <c:pt idx="16">
                  <c:v>9.1200000000000003E-2</c:v>
                </c:pt>
                <c:pt idx="17">
                  <c:v>9.1200000000000003E-2</c:v>
                </c:pt>
                <c:pt idx="18">
                  <c:v>9.1200000000000003E-2</c:v>
                </c:pt>
                <c:pt idx="19">
                  <c:v>9.1200000000000003E-2</c:v>
                </c:pt>
                <c:pt idx="20">
                  <c:v>9.1200000000000003E-2</c:v>
                </c:pt>
                <c:pt idx="21">
                  <c:v>9.1200000000000003E-2</c:v>
                </c:pt>
                <c:pt idx="22">
                  <c:v>9.1200000000000003E-2</c:v>
                </c:pt>
                <c:pt idx="23">
                  <c:v>9.1200000000000003E-2</c:v>
                </c:pt>
                <c:pt idx="24">
                  <c:v>9.1200000000000003E-2</c:v>
                </c:pt>
                <c:pt idx="25">
                  <c:v>9.1200000000000003E-2</c:v>
                </c:pt>
                <c:pt idx="26">
                  <c:v>9.1200000000000003E-2</c:v>
                </c:pt>
                <c:pt idx="27">
                  <c:v>9.1200000000000003E-2</c:v>
                </c:pt>
                <c:pt idx="28">
                  <c:v>9.1200000000000003E-2</c:v>
                </c:pt>
                <c:pt idx="29">
                  <c:v>9.1200000000000003E-2</c:v>
                </c:pt>
                <c:pt idx="30">
                  <c:v>9.1200000000000003E-2</c:v>
                </c:pt>
                <c:pt idx="31">
                  <c:v>9.1200000000000003E-2</c:v>
                </c:pt>
                <c:pt idx="32">
                  <c:v>9.1200000000000003E-2</c:v>
                </c:pt>
                <c:pt idx="33">
                  <c:v>9.1200000000000003E-2</c:v>
                </c:pt>
                <c:pt idx="34">
                  <c:v>9.1200000000000003E-2</c:v>
                </c:pt>
                <c:pt idx="35">
                  <c:v>9.1200000000000003E-2</c:v>
                </c:pt>
                <c:pt idx="36">
                  <c:v>9.1200000000000003E-2</c:v>
                </c:pt>
                <c:pt idx="37">
                  <c:v>9.1200000000000003E-2</c:v>
                </c:pt>
                <c:pt idx="38">
                  <c:v>9.1200000000000003E-2</c:v>
                </c:pt>
                <c:pt idx="39">
                  <c:v>9.1200000000000003E-2</c:v>
                </c:pt>
                <c:pt idx="40">
                  <c:v>9.1200000000000003E-2</c:v>
                </c:pt>
                <c:pt idx="41">
                  <c:v>9.1200000000000003E-2</c:v>
                </c:pt>
                <c:pt idx="42">
                  <c:v>9.1200000000000003E-2</c:v>
                </c:pt>
                <c:pt idx="43">
                  <c:v>9.1200000000000003E-2</c:v>
                </c:pt>
                <c:pt idx="44">
                  <c:v>9.1200000000000003E-2</c:v>
                </c:pt>
                <c:pt idx="45">
                  <c:v>9.1200000000000003E-2</c:v>
                </c:pt>
                <c:pt idx="46">
                  <c:v>9.1200000000000003E-2</c:v>
                </c:pt>
                <c:pt idx="47">
                  <c:v>9.1200000000000003E-2</c:v>
                </c:pt>
                <c:pt idx="48">
                  <c:v>9.1200000000000003E-2</c:v>
                </c:pt>
                <c:pt idx="49">
                  <c:v>9.1200000000000003E-2</c:v>
                </c:pt>
                <c:pt idx="50">
                  <c:v>9.1200000000000003E-2</c:v>
                </c:pt>
                <c:pt idx="51">
                  <c:v>9.1200000000000003E-2</c:v>
                </c:pt>
                <c:pt idx="52">
                  <c:v>9.1200000000000003E-2</c:v>
                </c:pt>
                <c:pt idx="53">
                  <c:v>9.1200000000000003E-2</c:v>
                </c:pt>
                <c:pt idx="54">
                  <c:v>9.1200000000000003E-2</c:v>
                </c:pt>
                <c:pt idx="55">
                  <c:v>9.1200000000000003E-2</c:v>
                </c:pt>
                <c:pt idx="56">
                  <c:v>9.1200000000000003E-2</c:v>
                </c:pt>
                <c:pt idx="57">
                  <c:v>9.1200000000000003E-2</c:v>
                </c:pt>
                <c:pt idx="58">
                  <c:v>9.1200000000000003E-2</c:v>
                </c:pt>
                <c:pt idx="59">
                  <c:v>9.1200000000000003E-2</c:v>
                </c:pt>
                <c:pt idx="60">
                  <c:v>9.1200000000000003E-2</c:v>
                </c:pt>
              </c:numCache>
            </c:numRef>
          </c:yVal>
          <c:smooth val="1"/>
          <c:extLst>
            <c:ext xmlns:c16="http://schemas.microsoft.com/office/drawing/2014/chart" uri="{C3380CC4-5D6E-409C-BE32-E72D297353CC}">
              <c16:uniqueId val="{00000002-9E72-43DA-A4B0-CCD4E40284F6}"/>
            </c:ext>
          </c:extLst>
        </c:ser>
        <c:ser>
          <c:idx val="3"/>
          <c:order val="3"/>
          <c:tx>
            <c:v>Pico 6 - CAL2</c:v>
          </c:tx>
          <c:spPr>
            <a:ln>
              <a:solidFill>
                <a:srgbClr val="00B050"/>
              </a:solidFill>
            </a:ln>
          </c:spPr>
          <c:marker>
            <c:symbol val="none"/>
          </c:marker>
          <c:xVal>
            <c:numRef>
              <c:f>'Registro Original'!$E$202:$E$226</c:f>
              <c:numCache>
                <c:formatCode>0.0</c:formatCode>
                <c:ptCount val="25"/>
                <c:pt idx="0">
                  <c:v>397.5</c:v>
                </c:pt>
                <c:pt idx="1">
                  <c:v>396.5</c:v>
                </c:pt>
                <c:pt idx="2">
                  <c:v>395.5</c:v>
                </c:pt>
                <c:pt idx="3">
                  <c:v>394.5</c:v>
                </c:pt>
                <c:pt idx="4">
                  <c:v>393.5</c:v>
                </c:pt>
                <c:pt idx="5">
                  <c:v>392.5</c:v>
                </c:pt>
                <c:pt idx="6">
                  <c:v>391.5</c:v>
                </c:pt>
                <c:pt idx="7">
                  <c:v>390.5</c:v>
                </c:pt>
                <c:pt idx="8">
                  <c:v>389.5</c:v>
                </c:pt>
                <c:pt idx="9">
                  <c:v>388.5</c:v>
                </c:pt>
                <c:pt idx="10">
                  <c:v>387.5</c:v>
                </c:pt>
                <c:pt idx="11">
                  <c:v>386.5</c:v>
                </c:pt>
                <c:pt idx="12">
                  <c:v>386</c:v>
                </c:pt>
                <c:pt idx="13">
                  <c:v>385.5</c:v>
                </c:pt>
                <c:pt idx="14">
                  <c:v>385</c:v>
                </c:pt>
                <c:pt idx="15">
                  <c:v>384.5</c:v>
                </c:pt>
                <c:pt idx="16">
                  <c:v>384</c:v>
                </c:pt>
                <c:pt idx="17">
                  <c:v>383.5</c:v>
                </c:pt>
                <c:pt idx="18">
                  <c:v>383</c:v>
                </c:pt>
                <c:pt idx="19">
                  <c:v>382.5</c:v>
                </c:pt>
                <c:pt idx="20">
                  <c:v>382</c:v>
                </c:pt>
                <c:pt idx="21">
                  <c:v>381.5</c:v>
                </c:pt>
                <c:pt idx="22">
                  <c:v>381</c:v>
                </c:pt>
                <c:pt idx="23">
                  <c:v>380.5</c:v>
                </c:pt>
                <c:pt idx="24">
                  <c:v>380</c:v>
                </c:pt>
              </c:numCache>
            </c:numRef>
          </c:xVal>
          <c:yVal>
            <c:numRef>
              <c:f>'Registro Original'!$F$202:$F$226</c:f>
              <c:numCache>
                <c:formatCode>General</c:formatCode>
                <c:ptCount val="25"/>
                <c:pt idx="6">
                  <c:v>5.7000000000000002E-2</c:v>
                </c:pt>
                <c:pt idx="7">
                  <c:v>0.06</c:v>
                </c:pt>
                <c:pt idx="8">
                  <c:v>6.3E-2</c:v>
                </c:pt>
                <c:pt idx="9">
                  <c:v>6.9000000000000006E-2</c:v>
                </c:pt>
                <c:pt idx="10">
                  <c:v>7.4999999999999997E-2</c:v>
                </c:pt>
                <c:pt idx="11">
                  <c:v>7.9000000000000001E-2</c:v>
                </c:pt>
                <c:pt idx="12">
                  <c:v>8.1000000000000003E-2</c:v>
                </c:pt>
                <c:pt idx="13">
                  <c:v>0.08</c:v>
                </c:pt>
                <c:pt idx="14">
                  <c:v>7.9000000000000001E-2</c:v>
                </c:pt>
                <c:pt idx="15">
                  <c:v>7.4999999999999997E-2</c:v>
                </c:pt>
                <c:pt idx="16">
                  <c:v>7.1999999999999995E-2</c:v>
                </c:pt>
                <c:pt idx="17">
                  <c:v>6.8000000000000005E-2</c:v>
                </c:pt>
                <c:pt idx="18">
                  <c:v>6.3E-2</c:v>
                </c:pt>
                <c:pt idx="19">
                  <c:v>5.8999999999999997E-2</c:v>
                </c:pt>
              </c:numCache>
            </c:numRef>
          </c:yVal>
          <c:smooth val="1"/>
          <c:extLst>
            <c:ext xmlns:c16="http://schemas.microsoft.com/office/drawing/2014/chart" uri="{C3380CC4-5D6E-409C-BE32-E72D297353CC}">
              <c16:uniqueId val="{00000001-A844-4E55-98F3-A5C1593C6EEC}"/>
            </c:ext>
          </c:extLst>
        </c:ser>
        <c:dLbls>
          <c:showLegendKey val="0"/>
          <c:showVal val="0"/>
          <c:showCatName val="0"/>
          <c:showSerName val="0"/>
          <c:showPercent val="0"/>
          <c:showBubbleSize val="0"/>
        </c:dLbls>
        <c:axId val="79398784"/>
        <c:axId val="79417344"/>
      </c:scatterChart>
      <c:valAx>
        <c:axId val="79398784"/>
        <c:scaling>
          <c:orientation val="minMax"/>
          <c:max val="392"/>
          <c:min val="380"/>
        </c:scaling>
        <c:delete val="0"/>
        <c:axPos val="t"/>
        <c:title>
          <c:tx>
            <c:rich>
              <a:bodyPr/>
              <a:lstStyle/>
              <a:p>
                <a:pPr>
                  <a:defRPr sz="1000" b="1" i="0" u="none" strike="noStrike" baseline="0">
                    <a:solidFill>
                      <a:srgbClr val="000000"/>
                    </a:solidFill>
                    <a:latin typeface="Arial"/>
                    <a:ea typeface="Arial"/>
                    <a:cs typeface="Arial"/>
                  </a:defRPr>
                </a:pPr>
                <a:r>
                  <a:rPr lang="pt-BR"/>
                  <a:t>Comprimento</a:t>
                </a:r>
                <a:r>
                  <a:rPr lang="pt-BR" baseline="0"/>
                  <a:t> de Onda</a:t>
                </a:r>
                <a:r>
                  <a:rPr lang="pt-BR"/>
                  <a:t> [nm]</a:t>
                </a:r>
              </a:p>
            </c:rich>
          </c:tx>
          <c:layout>
            <c:manualLayout>
              <c:xMode val="edge"/>
              <c:yMode val="edge"/>
              <c:x val="0.43979123805746739"/>
              <c:y val="0.89920444207422279"/>
            </c:manualLayout>
          </c:layout>
          <c:overlay val="0"/>
          <c:spPr>
            <a:noFill/>
            <a:ln w="25400">
              <a:noFill/>
            </a:ln>
          </c:spPr>
        </c:title>
        <c:numFmt formatCode="0.0" sourceLinked="0"/>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pt-BR"/>
          </a:p>
        </c:txPr>
        <c:crossAx val="79417344"/>
        <c:crosses val="max"/>
        <c:crossBetween val="midCat"/>
        <c:majorUnit val="1"/>
        <c:minorUnit val="0.2"/>
      </c:valAx>
      <c:valAx>
        <c:axId val="79417344"/>
        <c:scaling>
          <c:orientation val="minMax"/>
          <c:max val="0.11000000000000001"/>
          <c:min val="6.0000000000000026E-2"/>
        </c:scaling>
        <c:delete val="0"/>
        <c:axPos val="l"/>
        <c:majorGridlines>
          <c:spPr>
            <a:ln w="3175">
              <a:solidFill>
                <a:schemeClr val="bg1">
                  <a:lumMod val="65000"/>
                </a:schemeClr>
              </a:solidFill>
              <a:prstDash val="solid"/>
            </a:ln>
          </c:spPr>
        </c:majorGridlines>
        <c:title>
          <c:tx>
            <c:rich>
              <a:bodyPr/>
              <a:lstStyle/>
              <a:p>
                <a:pPr>
                  <a:defRPr sz="1000" b="1" i="0" u="none" strike="noStrike" baseline="0">
                    <a:solidFill>
                      <a:srgbClr val="000000"/>
                    </a:solidFill>
                    <a:latin typeface="Arial"/>
                    <a:ea typeface="Arial"/>
                    <a:cs typeface="Arial"/>
                  </a:defRPr>
                </a:pPr>
                <a:r>
                  <a:rPr lang="pt-BR"/>
                  <a:t>Absorbância </a:t>
                </a:r>
              </a:p>
            </c:rich>
          </c:tx>
          <c:layout>
            <c:manualLayout>
              <c:xMode val="edge"/>
              <c:yMode val="edge"/>
              <c:x val="1.8593473297474759E-2"/>
              <c:y val="0.33554224048687142"/>
            </c:manualLayout>
          </c:layout>
          <c:overlay val="0"/>
          <c:spPr>
            <a:noFill/>
            <a:ln w="25400">
              <a:noFill/>
            </a:ln>
          </c:spPr>
        </c:title>
        <c:numFmt formatCode="0.00" sourceLinked="0"/>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pt-BR"/>
          </a:p>
        </c:txPr>
        <c:crossAx val="79398784"/>
        <c:crossesAt val="284"/>
        <c:crossBetween val="midCat"/>
        <c:majorUnit val="2.0000000000000011E-2"/>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pt-BR"/>
    </a:p>
  </c:txPr>
  <c:printSettings>
    <c:headerFooter alignWithMargins="0"/>
    <c:pageMargins b="0.98425196899999978" l="0.78740157499999996" r="0.78740157499999996" t="0.98425196899999978" header="0.5" footer="0.5"/>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BR" sz="1100" b="1"/>
              <a:t>Pico 3  -  287,6 nm</a:t>
            </a:r>
          </a:p>
        </c:rich>
      </c:tx>
      <c:layout>
        <c:manualLayout>
          <c:xMode val="edge"/>
          <c:yMode val="edge"/>
          <c:x val="0.54164327045688065"/>
          <c:y val="0.1408385163975715"/>
        </c:manualLayout>
      </c:layout>
      <c:overlay val="0"/>
    </c:title>
    <c:autoTitleDeleted val="0"/>
    <c:plotArea>
      <c:layout>
        <c:manualLayout>
          <c:layoutTarget val="inner"/>
          <c:xMode val="edge"/>
          <c:yMode val="edge"/>
          <c:x val="7.4030397363120337E-2"/>
          <c:y val="8.5098873026628372E-2"/>
          <c:w val="0.81675531869566498"/>
          <c:h val="0.74801061007957614"/>
        </c:manualLayout>
      </c:layout>
      <c:scatterChart>
        <c:scatterStyle val="smoothMarker"/>
        <c:varyColors val="0"/>
        <c:ser>
          <c:idx val="0"/>
          <c:order val="0"/>
          <c:tx>
            <c:v>Pico 3</c:v>
          </c:tx>
          <c:spPr>
            <a:ln w="12700">
              <a:solidFill>
                <a:srgbClr val="000080"/>
              </a:solidFill>
              <a:prstDash val="solid"/>
            </a:ln>
          </c:spPr>
          <c:marker>
            <c:symbol val="none"/>
          </c:marker>
          <c:xVal>
            <c:numRef>
              <c:f>'Registro Original'!$AA$3870:$AA$3990</c:f>
              <c:numCache>
                <c:formatCode>0.0</c:formatCode>
                <c:ptCount val="121"/>
                <c:pt idx="0">
                  <c:v>293.5</c:v>
                </c:pt>
                <c:pt idx="1">
                  <c:v>293.39999999999998</c:v>
                </c:pt>
                <c:pt idx="2">
                  <c:v>293.3</c:v>
                </c:pt>
                <c:pt idx="3">
                  <c:v>293.2</c:v>
                </c:pt>
                <c:pt idx="4">
                  <c:v>293.10000000000002</c:v>
                </c:pt>
                <c:pt idx="5">
                  <c:v>293</c:v>
                </c:pt>
                <c:pt idx="6">
                  <c:v>292.89999999999998</c:v>
                </c:pt>
                <c:pt idx="7">
                  <c:v>292.8</c:v>
                </c:pt>
                <c:pt idx="8">
                  <c:v>292.7</c:v>
                </c:pt>
                <c:pt idx="9">
                  <c:v>292.60000000000002</c:v>
                </c:pt>
                <c:pt idx="10">
                  <c:v>292.5</c:v>
                </c:pt>
                <c:pt idx="11">
                  <c:v>292.39999999999998</c:v>
                </c:pt>
                <c:pt idx="12">
                  <c:v>292.3</c:v>
                </c:pt>
                <c:pt idx="13">
                  <c:v>292.2</c:v>
                </c:pt>
                <c:pt idx="14">
                  <c:v>292.10000000000002</c:v>
                </c:pt>
                <c:pt idx="15">
                  <c:v>292</c:v>
                </c:pt>
                <c:pt idx="16">
                  <c:v>291.89999999999998</c:v>
                </c:pt>
                <c:pt idx="17">
                  <c:v>291.8</c:v>
                </c:pt>
                <c:pt idx="18">
                  <c:v>291.7</c:v>
                </c:pt>
                <c:pt idx="19">
                  <c:v>291.60000000000002</c:v>
                </c:pt>
                <c:pt idx="20">
                  <c:v>291.5</c:v>
                </c:pt>
                <c:pt idx="21">
                  <c:v>291.39999999999998</c:v>
                </c:pt>
                <c:pt idx="22">
                  <c:v>291.3</c:v>
                </c:pt>
                <c:pt idx="23">
                  <c:v>291.2</c:v>
                </c:pt>
                <c:pt idx="24">
                  <c:v>291.10000000000002</c:v>
                </c:pt>
                <c:pt idx="25">
                  <c:v>291</c:v>
                </c:pt>
                <c:pt idx="26">
                  <c:v>290.89999999999998</c:v>
                </c:pt>
                <c:pt idx="27">
                  <c:v>290.8</c:v>
                </c:pt>
                <c:pt idx="28">
                  <c:v>290.7</c:v>
                </c:pt>
                <c:pt idx="29">
                  <c:v>290.60000000000002</c:v>
                </c:pt>
                <c:pt idx="30">
                  <c:v>290.5</c:v>
                </c:pt>
                <c:pt idx="31">
                  <c:v>290.39999999999998</c:v>
                </c:pt>
                <c:pt idx="32">
                  <c:v>290.3</c:v>
                </c:pt>
                <c:pt idx="33">
                  <c:v>290.2</c:v>
                </c:pt>
                <c:pt idx="34">
                  <c:v>290.10000000000002</c:v>
                </c:pt>
                <c:pt idx="35">
                  <c:v>290</c:v>
                </c:pt>
                <c:pt idx="36">
                  <c:v>289.89999999999998</c:v>
                </c:pt>
                <c:pt idx="37">
                  <c:v>289.8</c:v>
                </c:pt>
                <c:pt idx="38">
                  <c:v>289.7</c:v>
                </c:pt>
                <c:pt idx="39">
                  <c:v>289.60000000000002</c:v>
                </c:pt>
                <c:pt idx="40">
                  <c:v>289.5</c:v>
                </c:pt>
                <c:pt idx="41">
                  <c:v>289.39999999999998</c:v>
                </c:pt>
                <c:pt idx="42">
                  <c:v>289.3</c:v>
                </c:pt>
                <c:pt idx="43">
                  <c:v>289.2</c:v>
                </c:pt>
                <c:pt idx="44">
                  <c:v>289.10000000000002</c:v>
                </c:pt>
                <c:pt idx="45">
                  <c:v>289</c:v>
                </c:pt>
                <c:pt idx="46">
                  <c:v>288.89999999999998</c:v>
                </c:pt>
                <c:pt idx="47">
                  <c:v>288.8</c:v>
                </c:pt>
                <c:pt idx="48">
                  <c:v>288.7</c:v>
                </c:pt>
                <c:pt idx="49">
                  <c:v>288.60000000000002</c:v>
                </c:pt>
                <c:pt idx="50">
                  <c:v>288.5</c:v>
                </c:pt>
                <c:pt idx="51">
                  <c:v>288.39999999999998</c:v>
                </c:pt>
                <c:pt idx="52">
                  <c:v>288.3</c:v>
                </c:pt>
                <c:pt idx="53">
                  <c:v>288.2</c:v>
                </c:pt>
                <c:pt idx="54">
                  <c:v>288.10000000000002</c:v>
                </c:pt>
                <c:pt idx="55">
                  <c:v>288</c:v>
                </c:pt>
                <c:pt idx="56">
                  <c:v>287.89999999999998</c:v>
                </c:pt>
                <c:pt idx="57">
                  <c:v>287.8</c:v>
                </c:pt>
                <c:pt idx="58">
                  <c:v>287.7</c:v>
                </c:pt>
                <c:pt idx="59">
                  <c:v>287.60000000000002</c:v>
                </c:pt>
                <c:pt idx="60">
                  <c:v>287.5</c:v>
                </c:pt>
                <c:pt idx="61">
                  <c:v>287.39999999999998</c:v>
                </c:pt>
                <c:pt idx="62">
                  <c:v>287.3</c:v>
                </c:pt>
                <c:pt idx="63">
                  <c:v>287.2</c:v>
                </c:pt>
                <c:pt idx="64">
                  <c:v>287.10000000000002</c:v>
                </c:pt>
                <c:pt idx="65">
                  <c:v>287</c:v>
                </c:pt>
                <c:pt idx="66">
                  <c:v>286.89999999999998</c:v>
                </c:pt>
                <c:pt idx="67">
                  <c:v>286.8</c:v>
                </c:pt>
                <c:pt idx="68">
                  <c:v>286.7</c:v>
                </c:pt>
                <c:pt idx="69">
                  <c:v>286.60000000000002</c:v>
                </c:pt>
                <c:pt idx="70">
                  <c:v>286.5</c:v>
                </c:pt>
                <c:pt idx="71">
                  <c:v>286.39999999999998</c:v>
                </c:pt>
                <c:pt idx="72">
                  <c:v>286.3</c:v>
                </c:pt>
                <c:pt idx="73">
                  <c:v>286.2</c:v>
                </c:pt>
                <c:pt idx="74">
                  <c:v>286.10000000000002</c:v>
                </c:pt>
                <c:pt idx="75">
                  <c:v>286</c:v>
                </c:pt>
                <c:pt idx="76">
                  <c:v>285.89999999999998</c:v>
                </c:pt>
                <c:pt idx="77">
                  <c:v>285.8</c:v>
                </c:pt>
                <c:pt idx="78">
                  <c:v>285.7</c:v>
                </c:pt>
                <c:pt idx="79">
                  <c:v>285.60000000000002</c:v>
                </c:pt>
                <c:pt idx="80">
                  <c:v>285.5</c:v>
                </c:pt>
                <c:pt idx="81">
                  <c:v>285.39999999999998</c:v>
                </c:pt>
                <c:pt idx="82">
                  <c:v>285.3</c:v>
                </c:pt>
                <c:pt idx="83">
                  <c:v>285.2</c:v>
                </c:pt>
                <c:pt idx="84">
                  <c:v>285.10000000000002</c:v>
                </c:pt>
                <c:pt idx="85">
                  <c:v>285</c:v>
                </c:pt>
                <c:pt idx="86">
                  <c:v>284.89999999999998</c:v>
                </c:pt>
                <c:pt idx="87">
                  <c:v>284.8</c:v>
                </c:pt>
                <c:pt idx="88">
                  <c:v>284.7</c:v>
                </c:pt>
                <c:pt idx="89">
                  <c:v>284.60000000000002</c:v>
                </c:pt>
                <c:pt idx="90">
                  <c:v>284.5</c:v>
                </c:pt>
                <c:pt idx="91">
                  <c:v>284.39999999999998</c:v>
                </c:pt>
                <c:pt idx="92">
                  <c:v>284.3</c:v>
                </c:pt>
                <c:pt idx="93">
                  <c:v>284.2</c:v>
                </c:pt>
                <c:pt idx="94">
                  <c:v>284.10000000000002</c:v>
                </c:pt>
                <c:pt idx="95">
                  <c:v>284</c:v>
                </c:pt>
                <c:pt idx="96">
                  <c:v>283.89999999999998</c:v>
                </c:pt>
                <c:pt idx="97">
                  <c:v>283.8</c:v>
                </c:pt>
                <c:pt idx="98">
                  <c:v>283.7</c:v>
                </c:pt>
                <c:pt idx="99">
                  <c:v>283.60000000000002</c:v>
                </c:pt>
                <c:pt idx="100">
                  <c:v>283.5</c:v>
                </c:pt>
                <c:pt idx="101">
                  <c:v>283.39999999999998</c:v>
                </c:pt>
                <c:pt idx="102">
                  <c:v>283.3</c:v>
                </c:pt>
                <c:pt idx="103">
                  <c:v>283.2</c:v>
                </c:pt>
                <c:pt idx="104">
                  <c:v>283.10000000000002</c:v>
                </c:pt>
                <c:pt idx="105">
                  <c:v>283</c:v>
                </c:pt>
                <c:pt idx="106">
                  <c:v>282.89999999999998</c:v>
                </c:pt>
                <c:pt idx="107">
                  <c:v>282.8</c:v>
                </c:pt>
                <c:pt idx="108">
                  <c:v>282.7</c:v>
                </c:pt>
                <c:pt idx="109">
                  <c:v>282.60000000000002</c:v>
                </c:pt>
                <c:pt idx="110">
                  <c:v>282.5</c:v>
                </c:pt>
                <c:pt idx="111">
                  <c:v>282.39999999999998</c:v>
                </c:pt>
                <c:pt idx="112">
                  <c:v>282.3</c:v>
                </c:pt>
                <c:pt idx="113">
                  <c:v>282.2</c:v>
                </c:pt>
                <c:pt idx="114">
                  <c:v>282.10000000000002</c:v>
                </c:pt>
                <c:pt idx="115">
                  <c:v>282</c:v>
                </c:pt>
                <c:pt idx="116">
                  <c:v>281.89999999999998</c:v>
                </c:pt>
                <c:pt idx="117">
                  <c:v>281.8</c:v>
                </c:pt>
                <c:pt idx="118">
                  <c:v>281.7</c:v>
                </c:pt>
                <c:pt idx="119">
                  <c:v>281.60000000000002</c:v>
                </c:pt>
                <c:pt idx="120">
                  <c:v>281.5</c:v>
                </c:pt>
              </c:numCache>
            </c:numRef>
          </c:xVal>
          <c:yVal>
            <c:numRef>
              <c:f>'Registro Original'!$AC$3870:$AC$3990</c:f>
              <c:numCache>
                <c:formatCode>0.0000</c:formatCode>
                <c:ptCount val="121"/>
                <c:pt idx="0">
                  <c:v>0.20644008992445959</c:v>
                </c:pt>
                <c:pt idx="1">
                  <c:v>0.20798673180629146</c:v>
                </c:pt>
                <c:pt idx="2">
                  <c:v>0.20870945098100246</c:v>
                </c:pt>
                <c:pt idx="3">
                  <c:v>0.20896233576531745</c:v>
                </c:pt>
                <c:pt idx="4">
                  <c:v>0.2092505229002323</c:v>
                </c:pt>
                <c:pt idx="5">
                  <c:v>0.21057442071163138</c:v>
                </c:pt>
                <c:pt idx="6">
                  <c:v>0.21169018789294994</c:v>
                </c:pt>
                <c:pt idx="7">
                  <c:v>0.21218543293697692</c:v>
                </c:pt>
                <c:pt idx="8">
                  <c:v>0.2120368001160419</c:v>
                </c:pt>
                <c:pt idx="9">
                  <c:v>0.21166190522667028</c:v>
                </c:pt>
                <c:pt idx="10">
                  <c:v>0.21298609353483655</c:v>
                </c:pt>
                <c:pt idx="11">
                  <c:v>0.21470576435659611</c:v>
                </c:pt>
                <c:pt idx="12">
                  <c:v>0.2162964708326891</c:v>
                </c:pt>
                <c:pt idx="13">
                  <c:v>0.21776393724494225</c:v>
                </c:pt>
                <c:pt idx="14">
                  <c:v>0.21872584607743356</c:v>
                </c:pt>
                <c:pt idx="15">
                  <c:v>0.2207138299285859</c:v>
                </c:pt>
                <c:pt idx="16">
                  <c:v>0.22291407665618237</c:v>
                </c:pt>
                <c:pt idx="17">
                  <c:v>0.22606735253235472</c:v>
                </c:pt>
                <c:pt idx="18">
                  <c:v>0.22874332615408921</c:v>
                </c:pt>
                <c:pt idx="19">
                  <c:v>0.23318576476751621</c:v>
                </c:pt>
                <c:pt idx="20">
                  <c:v>0.23786933782334976</c:v>
                </c:pt>
                <c:pt idx="21">
                  <c:v>0.24379002879048975</c:v>
                </c:pt>
                <c:pt idx="22">
                  <c:v>0.24970764902713263</c:v>
                </c:pt>
                <c:pt idx="23">
                  <c:v>0.25746339184190409</c:v>
                </c:pt>
                <c:pt idx="24">
                  <c:v>0.26528015834432023</c:v>
                </c:pt>
                <c:pt idx="25">
                  <c:v>0.27346023804435005</c:v>
                </c:pt>
                <c:pt idx="26">
                  <c:v>0.281033540965555</c:v>
                </c:pt>
                <c:pt idx="27">
                  <c:v>0.28862306208138316</c:v>
                </c:pt>
                <c:pt idx="28">
                  <c:v>0.29569501852433239</c:v>
                </c:pt>
                <c:pt idx="29">
                  <c:v>0.30217804919453722</c:v>
                </c:pt>
                <c:pt idx="30">
                  <c:v>0.30729405109872276</c:v>
                </c:pt>
                <c:pt idx="31">
                  <c:v>0.31198974700826138</c:v>
                </c:pt>
                <c:pt idx="32">
                  <c:v>0.31571132262784357</c:v>
                </c:pt>
                <c:pt idx="33">
                  <c:v>0.31854166965218256</c:v>
                </c:pt>
                <c:pt idx="34">
                  <c:v>0.31939257100821211</c:v>
                </c:pt>
                <c:pt idx="35">
                  <c:v>0.31835180228049698</c:v>
                </c:pt>
                <c:pt idx="36">
                  <c:v>0.31647568039390384</c:v>
                </c:pt>
                <c:pt idx="37">
                  <c:v>0.31491243419114356</c:v>
                </c:pt>
                <c:pt idx="38">
                  <c:v>0.31285467147610518</c:v>
                </c:pt>
                <c:pt idx="39">
                  <c:v>0.30975960646888134</c:v>
                </c:pt>
                <c:pt idx="40">
                  <c:v>0.30622030596179278</c:v>
                </c:pt>
                <c:pt idx="41">
                  <c:v>0.30284915128789264</c:v>
                </c:pt>
                <c:pt idx="42">
                  <c:v>0.30094314545233225</c:v>
                </c:pt>
                <c:pt idx="43">
                  <c:v>0.30107342728378877</c:v>
                </c:pt>
                <c:pt idx="44">
                  <c:v>0.30215192333712731</c:v>
                </c:pt>
                <c:pt idx="45">
                  <c:v>0.30406325328199302</c:v>
                </c:pt>
                <c:pt idx="46">
                  <c:v>0.3078407439181165</c:v>
                </c:pt>
                <c:pt idx="47">
                  <c:v>0.31382865673136057</c:v>
                </c:pt>
                <c:pt idx="48">
                  <c:v>0.32171840785797579</c:v>
                </c:pt>
                <c:pt idx="49">
                  <c:v>0.33143704654130618</c:v>
                </c:pt>
                <c:pt idx="50">
                  <c:v>0.34357595971284793</c:v>
                </c:pt>
                <c:pt idx="51">
                  <c:v>0.3584168337991035</c:v>
                </c:pt>
                <c:pt idx="52">
                  <c:v>0.37272633834191393</c:v>
                </c:pt>
                <c:pt idx="53">
                  <c:v>0.38864849674518087</c:v>
                </c:pt>
                <c:pt idx="54">
                  <c:v>0.40546381362757006</c:v>
                </c:pt>
                <c:pt idx="55">
                  <c:v>0.42028498161033501</c:v>
                </c:pt>
                <c:pt idx="56">
                  <c:v>0.43421119273793307</c:v>
                </c:pt>
                <c:pt idx="57">
                  <c:v>0.44457904602500015</c:v>
                </c:pt>
                <c:pt idx="58">
                  <c:v>0.45045727211511893</c:v>
                </c:pt>
                <c:pt idx="59">
                  <c:v>0.45195471380418734</c:v>
                </c:pt>
                <c:pt idx="60">
                  <c:v>0.44751429890705252</c:v>
                </c:pt>
                <c:pt idx="61">
                  <c:v>0.43836204543539325</c:v>
                </c:pt>
                <c:pt idx="62">
                  <c:v>0.42444269993997435</c:v>
                </c:pt>
                <c:pt idx="63">
                  <c:v>0.40745685709538831</c:v>
                </c:pt>
                <c:pt idx="64">
                  <c:v>0.38815990477994289</c:v>
                </c:pt>
                <c:pt idx="65">
                  <c:v>0.3675629551162376</c:v>
                </c:pt>
                <c:pt idx="66">
                  <c:v>0.34667168980165242</c:v>
                </c:pt>
                <c:pt idx="67">
                  <c:v>0.32776355955545255</c:v>
                </c:pt>
                <c:pt idx="68">
                  <c:v>0.30825563140862572</c:v>
                </c:pt>
                <c:pt idx="69">
                  <c:v>0.29175761373307574</c:v>
                </c:pt>
                <c:pt idx="70">
                  <c:v>0.27732495304194382</c:v>
                </c:pt>
                <c:pt idx="71">
                  <c:v>0.264536838537619</c:v>
                </c:pt>
                <c:pt idx="72">
                  <c:v>0.25312459334619392</c:v>
                </c:pt>
                <c:pt idx="73">
                  <c:v>0.2431053695484911</c:v>
                </c:pt>
                <c:pt idx="74">
                  <c:v>0.23583134262205172</c:v>
                </c:pt>
                <c:pt idx="75">
                  <c:v>0.230652218771106</c:v>
                </c:pt>
                <c:pt idx="76">
                  <c:v>0.22663050233140386</c:v>
                </c:pt>
                <c:pt idx="77">
                  <c:v>0.22421485004422037</c:v>
                </c:pt>
                <c:pt idx="78">
                  <c:v>0.22109662416829878</c:v>
                </c:pt>
                <c:pt idx="79">
                  <c:v>0.21916443662662699</c:v>
                </c:pt>
                <c:pt idx="80">
                  <c:v>0.21689717464128469</c:v>
                </c:pt>
                <c:pt idx="81">
                  <c:v>0.2161607124979433</c:v>
                </c:pt>
                <c:pt idx="82">
                  <c:v>0.21506904468312901</c:v>
                </c:pt>
                <c:pt idx="83">
                  <c:v>0.21450644547402564</c:v>
                </c:pt>
                <c:pt idx="84">
                  <c:v>0.2138166544323665</c:v>
                </c:pt>
                <c:pt idx="85">
                  <c:v>0.21256786536099753</c:v>
                </c:pt>
                <c:pt idx="86">
                  <c:v>0.21252535623534291</c:v>
                </c:pt>
                <c:pt idx="87">
                  <c:v>0.21259620708984908</c:v>
                </c:pt>
                <c:pt idx="88">
                  <c:v>0.21344022063841345</c:v>
                </c:pt>
                <c:pt idx="89">
                  <c:v>0.21422186280446928</c:v>
                </c:pt>
                <c:pt idx="90">
                  <c:v>0.21419341479123363</c:v>
                </c:pt>
                <c:pt idx="91">
                  <c:v>0.21366746238895676</c:v>
                </c:pt>
                <c:pt idx="92">
                  <c:v>0.21468440438600808</c:v>
                </c:pt>
                <c:pt idx="93">
                  <c:v>0.21503341552623348</c:v>
                </c:pt>
                <c:pt idx="94">
                  <c:v>0.21474848744968245</c:v>
                </c:pt>
                <c:pt idx="95">
                  <c:v>0.2148268240376757</c:v>
                </c:pt>
                <c:pt idx="96">
                  <c:v>0.2152044621432381</c:v>
                </c:pt>
                <c:pt idx="97">
                  <c:v>0.21702600505595174</c:v>
                </c:pt>
                <c:pt idx="98">
                  <c:v>0.21792171646924635</c:v>
                </c:pt>
                <c:pt idx="99">
                  <c:v>0.21859651050395765</c:v>
                </c:pt>
                <c:pt idx="100">
                  <c:v>0.21865398822593385</c:v>
                </c:pt>
                <c:pt idx="101">
                  <c:v>0.21979793883429355</c:v>
                </c:pt>
                <c:pt idx="102">
                  <c:v>0.22172571694195639</c:v>
                </c:pt>
                <c:pt idx="103">
                  <c:v>0.22351674416631839</c:v>
                </c:pt>
                <c:pt idx="104">
                  <c:v>0.22460802830338808</c:v>
                </c:pt>
                <c:pt idx="105">
                  <c:v>0.22454975720684237</c:v>
                </c:pt>
                <c:pt idx="106">
                  <c:v>0.22622086643526471</c:v>
                </c:pt>
                <c:pt idx="107">
                  <c:v>0.2273849501508291</c:v>
                </c:pt>
                <c:pt idx="108">
                  <c:v>0.22981097726400673</c:v>
                </c:pt>
                <c:pt idx="109">
                  <c:v>0.23192455234826245</c:v>
                </c:pt>
                <c:pt idx="110">
                  <c:v>0.2345177178073857</c:v>
                </c:pt>
                <c:pt idx="111">
                  <c:v>0.23666186976432821</c:v>
                </c:pt>
                <c:pt idx="112">
                  <c:v>0.23859091971043675</c:v>
                </c:pt>
                <c:pt idx="113">
                  <c:v>0.24070240752047956</c:v>
                </c:pt>
                <c:pt idx="114">
                  <c:v>0.24340952929892343</c:v>
                </c:pt>
                <c:pt idx="115">
                  <c:v>0.24630972113817376</c:v>
                </c:pt>
                <c:pt idx="116">
                  <c:v>0.2487825024401816</c:v>
                </c:pt>
                <c:pt idx="117">
                  <c:v>0.25202917453966384</c:v>
                </c:pt>
                <c:pt idx="118">
                  <c:v>0.25433197383444173</c:v>
                </c:pt>
                <c:pt idx="119">
                  <c:v>0.25731413760277483</c:v>
                </c:pt>
                <c:pt idx="120">
                  <c:v>0.26030901206278767</c:v>
                </c:pt>
              </c:numCache>
            </c:numRef>
          </c:yVal>
          <c:smooth val="1"/>
          <c:extLst>
            <c:ext xmlns:c16="http://schemas.microsoft.com/office/drawing/2014/chart" uri="{C3380CC4-5D6E-409C-BE32-E72D297353CC}">
              <c16:uniqueId val="{00000000-C7A1-4846-A4D1-47D4A785B365}"/>
            </c:ext>
          </c:extLst>
        </c:ser>
        <c:ser>
          <c:idx val="1"/>
          <c:order val="1"/>
          <c:tx>
            <c:v>Pico 3 - CAL1</c:v>
          </c:tx>
          <c:spPr>
            <a:ln>
              <a:solidFill>
                <a:srgbClr val="FF0000"/>
              </a:solidFill>
            </a:ln>
          </c:spPr>
          <c:marker>
            <c:symbol val="none"/>
          </c:marker>
          <c:xVal>
            <c:numRef>
              <c:f>'Registro Original'!$B$277:$B$301</c:f>
              <c:numCache>
                <c:formatCode>0.0</c:formatCode>
                <c:ptCount val="25"/>
                <c:pt idx="0">
                  <c:v>299</c:v>
                </c:pt>
                <c:pt idx="1">
                  <c:v>298</c:v>
                </c:pt>
                <c:pt idx="2">
                  <c:v>297</c:v>
                </c:pt>
                <c:pt idx="3">
                  <c:v>296</c:v>
                </c:pt>
                <c:pt idx="4">
                  <c:v>295</c:v>
                </c:pt>
                <c:pt idx="5">
                  <c:v>294</c:v>
                </c:pt>
                <c:pt idx="6">
                  <c:v>293</c:v>
                </c:pt>
                <c:pt idx="7">
                  <c:v>292</c:v>
                </c:pt>
                <c:pt idx="8">
                  <c:v>291</c:v>
                </c:pt>
                <c:pt idx="9">
                  <c:v>290</c:v>
                </c:pt>
                <c:pt idx="10">
                  <c:v>289</c:v>
                </c:pt>
                <c:pt idx="11">
                  <c:v>288</c:v>
                </c:pt>
                <c:pt idx="12">
                  <c:v>287</c:v>
                </c:pt>
                <c:pt idx="13">
                  <c:v>286</c:v>
                </c:pt>
                <c:pt idx="14">
                  <c:v>285</c:v>
                </c:pt>
                <c:pt idx="15">
                  <c:v>284</c:v>
                </c:pt>
                <c:pt idx="16">
                  <c:v>283</c:v>
                </c:pt>
                <c:pt idx="17">
                  <c:v>282</c:v>
                </c:pt>
                <c:pt idx="18">
                  <c:v>281</c:v>
                </c:pt>
                <c:pt idx="19">
                  <c:v>280</c:v>
                </c:pt>
                <c:pt idx="20">
                  <c:v>279</c:v>
                </c:pt>
                <c:pt idx="21">
                  <c:v>278</c:v>
                </c:pt>
                <c:pt idx="22">
                  <c:v>277</c:v>
                </c:pt>
                <c:pt idx="23">
                  <c:v>276</c:v>
                </c:pt>
                <c:pt idx="24">
                  <c:v>275</c:v>
                </c:pt>
              </c:numCache>
            </c:numRef>
          </c:xVal>
          <c:yVal>
            <c:numRef>
              <c:f>'Registro Original'!$C$277:$C$301</c:f>
              <c:numCache>
                <c:formatCode>0.000</c:formatCode>
                <c:ptCount val="25"/>
                <c:pt idx="6">
                  <c:v>0.182</c:v>
                </c:pt>
                <c:pt idx="7">
                  <c:v>0.20300000000000001</c:v>
                </c:pt>
                <c:pt idx="8">
                  <c:v>0.22700000000000001</c:v>
                </c:pt>
                <c:pt idx="9">
                  <c:v>0.25900000000000001</c:v>
                </c:pt>
                <c:pt idx="10">
                  <c:v>0.27300000000000002</c:v>
                </c:pt>
                <c:pt idx="11">
                  <c:v>0.26800000000000002</c:v>
                </c:pt>
                <c:pt idx="12">
                  <c:v>0.251</c:v>
                </c:pt>
                <c:pt idx="13">
                  <c:v>0.224</c:v>
                </c:pt>
                <c:pt idx="14">
                  <c:v>0.20599999999999999</c:v>
                </c:pt>
                <c:pt idx="15">
                  <c:v>0.20399999999999999</c:v>
                </c:pt>
                <c:pt idx="16">
                  <c:v>0.222</c:v>
                </c:pt>
                <c:pt idx="17">
                  <c:v>0.253</c:v>
                </c:pt>
                <c:pt idx="18">
                  <c:v>0.28799999999999998</c:v>
                </c:pt>
              </c:numCache>
            </c:numRef>
          </c:yVal>
          <c:smooth val="1"/>
          <c:extLst>
            <c:ext xmlns:c16="http://schemas.microsoft.com/office/drawing/2014/chart" uri="{C3380CC4-5D6E-409C-BE32-E72D297353CC}">
              <c16:uniqueId val="{00000001-C7A1-4846-A4D1-47D4A785B365}"/>
            </c:ext>
          </c:extLst>
        </c:ser>
        <c:ser>
          <c:idx val="2"/>
          <c:order val="2"/>
          <c:tx>
            <c:v>Pico 3 - Largura de banda</c:v>
          </c:tx>
          <c:spPr>
            <a:ln w="15875">
              <a:solidFill>
                <a:srgbClr val="FFC000"/>
              </a:solidFill>
            </a:ln>
          </c:spPr>
          <c:marker>
            <c:symbol val="none"/>
          </c:marker>
          <c:xVal>
            <c:numRef>
              <c:f>'Registro Original'!$AE$279:$CM$279</c:f>
              <c:numCache>
                <c:formatCode>0.0</c:formatCode>
                <c:ptCount val="61"/>
                <c:pt idx="0">
                  <c:v>281.5</c:v>
                </c:pt>
                <c:pt idx="1">
                  <c:v>281.7</c:v>
                </c:pt>
                <c:pt idx="2">
                  <c:v>281.89999999999998</c:v>
                </c:pt>
                <c:pt idx="3">
                  <c:v>282.09999999999997</c:v>
                </c:pt>
                <c:pt idx="4">
                  <c:v>282.29999999999995</c:v>
                </c:pt>
                <c:pt idx="5">
                  <c:v>282.49999999999994</c:v>
                </c:pt>
                <c:pt idx="6">
                  <c:v>282.69999999999993</c:v>
                </c:pt>
                <c:pt idx="7">
                  <c:v>282.89999999999992</c:v>
                </c:pt>
                <c:pt idx="8">
                  <c:v>283.09999999999991</c:v>
                </c:pt>
                <c:pt idx="9">
                  <c:v>283.2999999999999</c:v>
                </c:pt>
                <c:pt idx="10">
                  <c:v>283.49999999999989</c:v>
                </c:pt>
                <c:pt idx="11">
                  <c:v>283.69999999999987</c:v>
                </c:pt>
                <c:pt idx="12">
                  <c:v>283.89999999999986</c:v>
                </c:pt>
                <c:pt idx="13">
                  <c:v>284.09999999999985</c:v>
                </c:pt>
                <c:pt idx="14">
                  <c:v>284.29999999999984</c:v>
                </c:pt>
                <c:pt idx="15">
                  <c:v>284.49999999999983</c:v>
                </c:pt>
                <c:pt idx="16">
                  <c:v>284.69999999999982</c:v>
                </c:pt>
                <c:pt idx="17">
                  <c:v>284.89999999999981</c:v>
                </c:pt>
                <c:pt idx="18">
                  <c:v>285.0999999999998</c:v>
                </c:pt>
                <c:pt idx="19">
                  <c:v>285.29999999999978</c:v>
                </c:pt>
                <c:pt idx="20">
                  <c:v>285.49999999999977</c:v>
                </c:pt>
                <c:pt idx="21">
                  <c:v>285.69999999999976</c:v>
                </c:pt>
                <c:pt idx="22">
                  <c:v>285.89999999999975</c:v>
                </c:pt>
                <c:pt idx="23">
                  <c:v>286.09999999999974</c:v>
                </c:pt>
                <c:pt idx="24">
                  <c:v>286.29999999999973</c:v>
                </c:pt>
                <c:pt idx="25">
                  <c:v>286.49999999999972</c:v>
                </c:pt>
                <c:pt idx="26">
                  <c:v>286.6999999999997</c:v>
                </c:pt>
                <c:pt idx="27">
                  <c:v>286.89999999999969</c:v>
                </c:pt>
                <c:pt idx="28">
                  <c:v>287.09999999999968</c:v>
                </c:pt>
                <c:pt idx="29">
                  <c:v>287.29999999999967</c:v>
                </c:pt>
                <c:pt idx="30">
                  <c:v>287.49999999999966</c:v>
                </c:pt>
                <c:pt idx="31">
                  <c:v>287.69999999999965</c:v>
                </c:pt>
                <c:pt idx="32">
                  <c:v>287.89999999999964</c:v>
                </c:pt>
                <c:pt idx="33">
                  <c:v>288.09999999999962</c:v>
                </c:pt>
                <c:pt idx="34">
                  <c:v>288.29999999999961</c:v>
                </c:pt>
                <c:pt idx="35">
                  <c:v>288.4999999999996</c:v>
                </c:pt>
                <c:pt idx="36">
                  <c:v>288.69999999999959</c:v>
                </c:pt>
                <c:pt idx="37">
                  <c:v>288.89999999999958</c:v>
                </c:pt>
                <c:pt idx="38">
                  <c:v>289.09999999999957</c:v>
                </c:pt>
                <c:pt idx="39">
                  <c:v>289.29999999999956</c:v>
                </c:pt>
                <c:pt idx="40">
                  <c:v>289.49999999999955</c:v>
                </c:pt>
                <c:pt idx="41">
                  <c:v>289.69999999999953</c:v>
                </c:pt>
                <c:pt idx="42">
                  <c:v>289.89999999999952</c:v>
                </c:pt>
                <c:pt idx="43">
                  <c:v>290.09999999999951</c:v>
                </c:pt>
                <c:pt idx="44">
                  <c:v>290.2999999999995</c:v>
                </c:pt>
                <c:pt idx="45">
                  <c:v>290.49999999999949</c:v>
                </c:pt>
                <c:pt idx="46">
                  <c:v>290.69999999999948</c:v>
                </c:pt>
                <c:pt idx="47">
                  <c:v>290.89999999999947</c:v>
                </c:pt>
                <c:pt idx="48">
                  <c:v>291.09999999999945</c:v>
                </c:pt>
                <c:pt idx="49">
                  <c:v>291.29999999999944</c:v>
                </c:pt>
                <c:pt idx="50">
                  <c:v>291.49999999999943</c:v>
                </c:pt>
                <c:pt idx="51">
                  <c:v>291.69999999999942</c:v>
                </c:pt>
                <c:pt idx="52">
                  <c:v>291.89999999999941</c:v>
                </c:pt>
                <c:pt idx="53">
                  <c:v>292.0999999999994</c:v>
                </c:pt>
                <c:pt idx="54">
                  <c:v>292.29999999999939</c:v>
                </c:pt>
                <c:pt idx="55">
                  <c:v>292.49999999999937</c:v>
                </c:pt>
                <c:pt idx="56">
                  <c:v>292.69999999999936</c:v>
                </c:pt>
                <c:pt idx="57">
                  <c:v>292.89999999999935</c:v>
                </c:pt>
                <c:pt idx="58">
                  <c:v>293.09999999999934</c:v>
                </c:pt>
                <c:pt idx="59">
                  <c:v>293.29999999999933</c:v>
                </c:pt>
                <c:pt idx="60">
                  <c:v>293.49999999999932</c:v>
                </c:pt>
              </c:numCache>
            </c:numRef>
          </c:xVal>
          <c:yVal>
            <c:numRef>
              <c:f>'Registro Original'!$AE$280:$CM$280</c:f>
              <c:numCache>
                <c:formatCode>0.0000</c:formatCode>
                <c:ptCount val="61"/>
                <c:pt idx="0">
                  <c:v>0.37645000000000001</c:v>
                </c:pt>
                <c:pt idx="1">
                  <c:v>0.37645000000000001</c:v>
                </c:pt>
                <c:pt idx="2">
                  <c:v>0.37645000000000001</c:v>
                </c:pt>
                <c:pt idx="3">
                  <c:v>0.37645000000000001</c:v>
                </c:pt>
                <c:pt idx="4">
                  <c:v>0.37645000000000001</c:v>
                </c:pt>
                <c:pt idx="5">
                  <c:v>0.37645000000000001</c:v>
                </c:pt>
                <c:pt idx="6">
                  <c:v>0.37645000000000001</c:v>
                </c:pt>
                <c:pt idx="7">
                  <c:v>0.37645000000000001</c:v>
                </c:pt>
                <c:pt idx="8">
                  <c:v>0.37645000000000001</c:v>
                </c:pt>
                <c:pt idx="9">
                  <c:v>0.37645000000000001</c:v>
                </c:pt>
                <c:pt idx="10">
                  <c:v>0.37645000000000001</c:v>
                </c:pt>
                <c:pt idx="11">
                  <c:v>0.37645000000000001</c:v>
                </c:pt>
                <c:pt idx="12">
                  <c:v>0.37645000000000001</c:v>
                </c:pt>
                <c:pt idx="13">
                  <c:v>0.37645000000000001</c:v>
                </c:pt>
                <c:pt idx="14">
                  <c:v>0.37645000000000001</c:v>
                </c:pt>
                <c:pt idx="15">
                  <c:v>0.37645000000000001</c:v>
                </c:pt>
                <c:pt idx="16">
                  <c:v>0.37645000000000001</c:v>
                </c:pt>
                <c:pt idx="17">
                  <c:v>0.37645000000000001</c:v>
                </c:pt>
                <c:pt idx="18">
                  <c:v>0.37645000000000001</c:v>
                </c:pt>
                <c:pt idx="19">
                  <c:v>0.37645000000000001</c:v>
                </c:pt>
                <c:pt idx="20">
                  <c:v>0.37645000000000001</c:v>
                </c:pt>
                <c:pt idx="21">
                  <c:v>0.37645000000000001</c:v>
                </c:pt>
                <c:pt idx="22">
                  <c:v>0.37645000000000001</c:v>
                </c:pt>
                <c:pt idx="23">
                  <c:v>0.37645000000000001</c:v>
                </c:pt>
                <c:pt idx="24">
                  <c:v>0.37645000000000001</c:v>
                </c:pt>
                <c:pt idx="25">
                  <c:v>0.37645000000000001</c:v>
                </c:pt>
                <c:pt idx="26">
                  <c:v>0.37645000000000001</c:v>
                </c:pt>
                <c:pt idx="27">
                  <c:v>0.37645000000000001</c:v>
                </c:pt>
                <c:pt idx="28">
                  <c:v>0.37645000000000001</c:v>
                </c:pt>
                <c:pt idx="29">
                  <c:v>0.37645000000000001</c:v>
                </c:pt>
                <c:pt idx="30">
                  <c:v>0.37645000000000001</c:v>
                </c:pt>
                <c:pt idx="31">
                  <c:v>0.37645000000000001</c:v>
                </c:pt>
                <c:pt idx="32">
                  <c:v>0.37645000000000001</c:v>
                </c:pt>
                <c:pt idx="33">
                  <c:v>0.37645000000000001</c:v>
                </c:pt>
                <c:pt idx="34">
                  <c:v>0.37645000000000001</c:v>
                </c:pt>
                <c:pt idx="35">
                  <c:v>0.37645000000000001</c:v>
                </c:pt>
                <c:pt idx="36">
                  <c:v>0.37645000000000001</c:v>
                </c:pt>
                <c:pt idx="37">
                  <c:v>0.37645000000000001</c:v>
                </c:pt>
                <c:pt idx="38">
                  <c:v>0.37645000000000001</c:v>
                </c:pt>
                <c:pt idx="39">
                  <c:v>0.37645000000000001</c:v>
                </c:pt>
                <c:pt idx="40">
                  <c:v>0.37645000000000001</c:v>
                </c:pt>
                <c:pt idx="41">
                  <c:v>0.37645000000000001</c:v>
                </c:pt>
                <c:pt idx="42">
                  <c:v>0.37645000000000001</c:v>
                </c:pt>
                <c:pt idx="43">
                  <c:v>0.37645000000000001</c:v>
                </c:pt>
                <c:pt idx="44">
                  <c:v>0.37645000000000001</c:v>
                </c:pt>
                <c:pt idx="45">
                  <c:v>0.37645000000000001</c:v>
                </c:pt>
                <c:pt idx="46">
                  <c:v>0.37645000000000001</c:v>
                </c:pt>
                <c:pt idx="47">
                  <c:v>0.37645000000000001</c:v>
                </c:pt>
                <c:pt idx="48">
                  <c:v>0.37645000000000001</c:v>
                </c:pt>
                <c:pt idx="49">
                  <c:v>0.37645000000000001</c:v>
                </c:pt>
                <c:pt idx="50">
                  <c:v>0.37645000000000001</c:v>
                </c:pt>
                <c:pt idx="51">
                  <c:v>0.37645000000000001</c:v>
                </c:pt>
                <c:pt idx="52">
                  <c:v>0.37645000000000001</c:v>
                </c:pt>
                <c:pt idx="53">
                  <c:v>0.37645000000000001</c:v>
                </c:pt>
                <c:pt idx="54">
                  <c:v>0.37645000000000001</c:v>
                </c:pt>
                <c:pt idx="55">
                  <c:v>0.37645000000000001</c:v>
                </c:pt>
                <c:pt idx="56">
                  <c:v>0.37645000000000001</c:v>
                </c:pt>
                <c:pt idx="57">
                  <c:v>0.37645000000000001</c:v>
                </c:pt>
                <c:pt idx="58">
                  <c:v>0.37645000000000001</c:v>
                </c:pt>
                <c:pt idx="59">
                  <c:v>0.37645000000000001</c:v>
                </c:pt>
                <c:pt idx="60">
                  <c:v>0.37645000000000001</c:v>
                </c:pt>
              </c:numCache>
            </c:numRef>
          </c:yVal>
          <c:smooth val="1"/>
          <c:extLst>
            <c:ext xmlns:c16="http://schemas.microsoft.com/office/drawing/2014/chart" uri="{C3380CC4-5D6E-409C-BE32-E72D297353CC}">
              <c16:uniqueId val="{00000002-C7A1-4846-A4D1-47D4A785B365}"/>
            </c:ext>
          </c:extLst>
        </c:ser>
        <c:ser>
          <c:idx val="3"/>
          <c:order val="3"/>
          <c:tx>
            <c:v>Pico 3 - CAL 2</c:v>
          </c:tx>
          <c:spPr>
            <a:ln>
              <a:solidFill>
                <a:srgbClr val="00B050"/>
              </a:solidFill>
            </a:ln>
          </c:spPr>
          <c:marker>
            <c:symbol val="none"/>
          </c:marker>
          <c:xVal>
            <c:numRef>
              <c:f>'Registro Original'!$E$277:$E$301</c:f>
              <c:numCache>
                <c:formatCode>0.0</c:formatCode>
                <c:ptCount val="25"/>
                <c:pt idx="0">
                  <c:v>293</c:v>
                </c:pt>
                <c:pt idx="1">
                  <c:v>292.5</c:v>
                </c:pt>
                <c:pt idx="2">
                  <c:v>292</c:v>
                </c:pt>
                <c:pt idx="3">
                  <c:v>291.5</c:v>
                </c:pt>
                <c:pt idx="4">
                  <c:v>291</c:v>
                </c:pt>
                <c:pt idx="5">
                  <c:v>290.5</c:v>
                </c:pt>
                <c:pt idx="6">
                  <c:v>290</c:v>
                </c:pt>
                <c:pt idx="7">
                  <c:v>289.5</c:v>
                </c:pt>
                <c:pt idx="8">
                  <c:v>289</c:v>
                </c:pt>
                <c:pt idx="9">
                  <c:v>288.5</c:v>
                </c:pt>
                <c:pt idx="10">
                  <c:v>288</c:v>
                </c:pt>
                <c:pt idx="11">
                  <c:v>287.5</c:v>
                </c:pt>
                <c:pt idx="12">
                  <c:v>287</c:v>
                </c:pt>
                <c:pt idx="13">
                  <c:v>286.5</c:v>
                </c:pt>
                <c:pt idx="14">
                  <c:v>286</c:v>
                </c:pt>
                <c:pt idx="15">
                  <c:v>285.5</c:v>
                </c:pt>
                <c:pt idx="16">
                  <c:v>285</c:v>
                </c:pt>
                <c:pt idx="17">
                  <c:v>284.5</c:v>
                </c:pt>
                <c:pt idx="18">
                  <c:v>284</c:v>
                </c:pt>
                <c:pt idx="19">
                  <c:v>283.5</c:v>
                </c:pt>
                <c:pt idx="20">
                  <c:v>283</c:v>
                </c:pt>
                <c:pt idx="21">
                  <c:v>282.5</c:v>
                </c:pt>
                <c:pt idx="22">
                  <c:v>282</c:v>
                </c:pt>
                <c:pt idx="23">
                  <c:v>281.5</c:v>
                </c:pt>
                <c:pt idx="24">
                  <c:v>281</c:v>
                </c:pt>
              </c:numCache>
            </c:numRef>
          </c:xVal>
          <c:yVal>
            <c:numRef>
              <c:f>'Registro Original'!$F$277:$F$301</c:f>
              <c:numCache>
                <c:formatCode>General</c:formatCode>
                <c:ptCount val="25"/>
                <c:pt idx="6">
                  <c:v>0.189</c:v>
                </c:pt>
                <c:pt idx="7">
                  <c:v>0.21</c:v>
                </c:pt>
                <c:pt idx="8">
                  <c:v>0.23599999999999999</c:v>
                </c:pt>
                <c:pt idx="9">
                  <c:v>0.26600000000000001</c:v>
                </c:pt>
                <c:pt idx="10">
                  <c:v>0.27400000000000002</c:v>
                </c:pt>
                <c:pt idx="11">
                  <c:v>0.26300000000000001</c:v>
                </c:pt>
                <c:pt idx="12">
                  <c:v>0.24399999999999999</c:v>
                </c:pt>
                <c:pt idx="13">
                  <c:v>0.217</c:v>
                </c:pt>
                <c:pt idx="14">
                  <c:v>0.20399999999999999</c:v>
                </c:pt>
                <c:pt idx="15">
                  <c:v>0.20599999999999999</c:v>
                </c:pt>
                <c:pt idx="16">
                  <c:v>0.23100000000000001</c:v>
                </c:pt>
                <c:pt idx="17">
                  <c:v>0.26400000000000001</c:v>
                </c:pt>
                <c:pt idx="18">
                  <c:v>0.29699999999999999</c:v>
                </c:pt>
                <c:pt idx="19">
                  <c:v>0.31900000000000001</c:v>
                </c:pt>
              </c:numCache>
            </c:numRef>
          </c:yVal>
          <c:smooth val="1"/>
          <c:extLst>
            <c:ext xmlns:c16="http://schemas.microsoft.com/office/drawing/2014/chart" uri="{C3380CC4-5D6E-409C-BE32-E72D297353CC}">
              <c16:uniqueId val="{00000005-C7A1-4846-A4D1-47D4A785B365}"/>
            </c:ext>
          </c:extLst>
        </c:ser>
        <c:dLbls>
          <c:showLegendKey val="0"/>
          <c:showVal val="0"/>
          <c:showCatName val="0"/>
          <c:showSerName val="0"/>
          <c:showPercent val="0"/>
          <c:showBubbleSize val="0"/>
        </c:dLbls>
        <c:axId val="79336576"/>
        <c:axId val="79338496"/>
      </c:scatterChart>
      <c:valAx>
        <c:axId val="79336576"/>
        <c:scaling>
          <c:orientation val="minMax"/>
          <c:max val="293.5"/>
          <c:min val="281.5"/>
        </c:scaling>
        <c:delete val="0"/>
        <c:axPos val="t"/>
        <c:title>
          <c:tx>
            <c:rich>
              <a:bodyPr/>
              <a:lstStyle/>
              <a:p>
                <a:pPr>
                  <a:defRPr sz="1000" b="1" i="0" u="none" strike="noStrike" baseline="0">
                    <a:solidFill>
                      <a:srgbClr val="000000"/>
                    </a:solidFill>
                    <a:latin typeface="Arial"/>
                    <a:ea typeface="Arial"/>
                    <a:cs typeface="Arial"/>
                  </a:defRPr>
                </a:pPr>
                <a:r>
                  <a:rPr lang="pt-BR"/>
                  <a:t>Comprimento</a:t>
                </a:r>
                <a:r>
                  <a:rPr lang="pt-BR" baseline="0"/>
                  <a:t> de Onda</a:t>
                </a:r>
                <a:r>
                  <a:rPr lang="pt-BR"/>
                  <a:t> [nm]</a:t>
                </a:r>
              </a:p>
            </c:rich>
          </c:tx>
          <c:layout>
            <c:manualLayout>
              <c:xMode val="edge"/>
              <c:yMode val="edge"/>
              <c:x val="0.43979123805746739"/>
              <c:y val="0.89920390254248539"/>
            </c:manualLayout>
          </c:layout>
          <c:overlay val="0"/>
          <c:spPr>
            <a:noFill/>
            <a:ln w="25400">
              <a:noFill/>
            </a:ln>
          </c:spPr>
        </c:title>
        <c:numFmt formatCode="0.0" sourceLinked="0"/>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pt-BR"/>
          </a:p>
        </c:txPr>
        <c:crossAx val="79338496"/>
        <c:crosses val="max"/>
        <c:crossBetween val="midCat"/>
        <c:majorUnit val="1"/>
        <c:minorUnit val="0.2"/>
      </c:valAx>
      <c:valAx>
        <c:axId val="79338496"/>
        <c:scaling>
          <c:orientation val="minMax"/>
          <c:max val="0.46"/>
          <c:min val="0.2"/>
        </c:scaling>
        <c:delete val="0"/>
        <c:axPos val="l"/>
        <c:majorGridlines>
          <c:spPr>
            <a:ln w="3175">
              <a:solidFill>
                <a:schemeClr val="bg1">
                  <a:lumMod val="65000"/>
                </a:schemeClr>
              </a:solidFill>
              <a:prstDash val="solid"/>
            </a:ln>
          </c:spPr>
        </c:majorGridlines>
        <c:title>
          <c:tx>
            <c:rich>
              <a:bodyPr/>
              <a:lstStyle/>
              <a:p>
                <a:pPr>
                  <a:defRPr sz="1000" b="1" i="0" u="none" strike="noStrike" baseline="0">
                    <a:solidFill>
                      <a:srgbClr val="000000"/>
                    </a:solidFill>
                    <a:latin typeface="Arial"/>
                    <a:ea typeface="Arial"/>
                    <a:cs typeface="Arial"/>
                  </a:defRPr>
                </a:pPr>
                <a:r>
                  <a:rPr lang="pt-BR"/>
                  <a:t>Absorbância </a:t>
                </a:r>
              </a:p>
            </c:rich>
          </c:tx>
          <c:layout>
            <c:manualLayout>
              <c:xMode val="edge"/>
              <c:yMode val="edge"/>
              <c:x val="1.4464127978496838E-2"/>
              <c:y val="0.3447447528075383"/>
            </c:manualLayout>
          </c:layout>
          <c:overlay val="0"/>
          <c:spPr>
            <a:noFill/>
            <a:ln w="25400">
              <a:noFill/>
            </a:ln>
          </c:spPr>
        </c:title>
        <c:numFmt formatCode="0.00" sourceLinked="0"/>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pt-BR"/>
          </a:p>
        </c:txPr>
        <c:crossAx val="79336576"/>
        <c:crossesAt val="281.5"/>
        <c:crossBetween val="midCat"/>
        <c:majorUnit val="2.0000000000000011E-2"/>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pt-BR"/>
    </a:p>
  </c:txPr>
  <c:printSettings>
    <c:headerFooter alignWithMargins="0"/>
    <c:pageMargins b="0.98425196899999978" l="0.78740157499999996" r="0.78740157499999996" t="0.98425196899999978" header="0.5" footer="0.5"/>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BR" sz="1100" b="1"/>
              <a:t>Pico 2  -  279,3 nm</a:t>
            </a:r>
          </a:p>
        </c:rich>
      </c:tx>
      <c:layout>
        <c:manualLayout>
          <c:xMode val="edge"/>
          <c:yMode val="edge"/>
          <c:x val="0.54164327045688065"/>
          <c:y val="0.1408385163975715"/>
        </c:manualLayout>
      </c:layout>
      <c:overlay val="0"/>
    </c:title>
    <c:autoTitleDeleted val="0"/>
    <c:plotArea>
      <c:layout>
        <c:manualLayout>
          <c:layoutTarget val="inner"/>
          <c:xMode val="edge"/>
          <c:yMode val="edge"/>
          <c:x val="7.4030397363120337E-2"/>
          <c:y val="8.5098873026628372E-2"/>
          <c:w val="0.81675531869566498"/>
          <c:h val="0.74801061007957614"/>
        </c:manualLayout>
      </c:layout>
      <c:scatterChart>
        <c:scatterStyle val="smoothMarker"/>
        <c:varyColors val="0"/>
        <c:ser>
          <c:idx val="0"/>
          <c:order val="0"/>
          <c:tx>
            <c:v>Pico 2</c:v>
          </c:tx>
          <c:spPr>
            <a:ln w="12700">
              <a:solidFill>
                <a:srgbClr val="000080"/>
              </a:solidFill>
              <a:prstDash val="solid"/>
            </a:ln>
          </c:spPr>
          <c:marker>
            <c:symbol val="none"/>
          </c:marker>
          <c:xVal>
            <c:numRef>
              <c:f>'Registro Original'!$AA$3950:$AA$4070</c:f>
              <c:numCache>
                <c:formatCode>0.0</c:formatCode>
                <c:ptCount val="121"/>
                <c:pt idx="0">
                  <c:v>285.5</c:v>
                </c:pt>
                <c:pt idx="1">
                  <c:v>285.39999999999998</c:v>
                </c:pt>
                <c:pt idx="2">
                  <c:v>285.3</c:v>
                </c:pt>
                <c:pt idx="3">
                  <c:v>285.2</c:v>
                </c:pt>
                <c:pt idx="4">
                  <c:v>285.10000000000002</c:v>
                </c:pt>
                <c:pt idx="5">
                  <c:v>285</c:v>
                </c:pt>
                <c:pt idx="6">
                  <c:v>284.89999999999998</c:v>
                </c:pt>
                <c:pt idx="7">
                  <c:v>284.8</c:v>
                </c:pt>
                <c:pt idx="8">
                  <c:v>284.7</c:v>
                </c:pt>
                <c:pt idx="9">
                  <c:v>284.60000000000002</c:v>
                </c:pt>
                <c:pt idx="10">
                  <c:v>284.5</c:v>
                </c:pt>
                <c:pt idx="11">
                  <c:v>284.39999999999998</c:v>
                </c:pt>
                <c:pt idx="12">
                  <c:v>284.3</c:v>
                </c:pt>
                <c:pt idx="13">
                  <c:v>284.2</c:v>
                </c:pt>
                <c:pt idx="14">
                  <c:v>284.10000000000002</c:v>
                </c:pt>
                <c:pt idx="15">
                  <c:v>284</c:v>
                </c:pt>
                <c:pt idx="16">
                  <c:v>283.89999999999998</c:v>
                </c:pt>
                <c:pt idx="17">
                  <c:v>283.8</c:v>
                </c:pt>
                <c:pt idx="18">
                  <c:v>283.7</c:v>
                </c:pt>
                <c:pt idx="19">
                  <c:v>283.60000000000002</c:v>
                </c:pt>
                <c:pt idx="20">
                  <c:v>283.5</c:v>
                </c:pt>
                <c:pt idx="21">
                  <c:v>283.39999999999998</c:v>
                </c:pt>
                <c:pt idx="22">
                  <c:v>283.3</c:v>
                </c:pt>
                <c:pt idx="23">
                  <c:v>283.2</c:v>
                </c:pt>
                <c:pt idx="24">
                  <c:v>283.10000000000002</c:v>
                </c:pt>
                <c:pt idx="25">
                  <c:v>283</c:v>
                </c:pt>
                <c:pt idx="26">
                  <c:v>282.89999999999998</c:v>
                </c:pt>
                <c:pt idx="27">
                  <c:v>282.8</c:v>
                </c:pt>
                <c:pt idx="28">
                  <c:v>282.7</c:v>
                </c:pt>
                <c:pt idx="29">
                  <c:v>282.60000000000002</c:v>
                </c:pt>
                <c:pt idx="30">
                  <c:v>282.5</c:v>
                </c:pt>
                <c:pt idx="31">
                  <c:v>282.39999999999998</c:v>
                </c:pt>
                <c:pt idx="32">
                  <c:v>282.3</c:v>
                </c:pt>
                <c:pt idx="33">
                  <c:v>282.2</c:v>
                </c:pt>
                <c:pt idx="34">
                  <c:v>282.10000000000002</c:v>
                </c:pt>
                <c:pt idx="35">
                  <c:v>282</c:v>
                </c:pt>
                <c:pt idx="36">
                  <c:v>281.89999999999998</c:v>
                </c:pt>
                <c:pt idx="37">
                  <c:v>281.8</c:v>
                </c:pt>
                <c:pt idx="38">
                  <c:v>281.7</c:v>
                </c:pt>
                <c:pt idx="39">
                  <c:v>281.60000000000002</c:v>
                </c:pt>
                <c:pt idx="40">
                  <c:v>281.5</c:v>
                </c:pt>
                <c:pt idx="41">
                  <c:v>281.39999999999998</c:v>
                </c:pt>
                <c:pt idx="42">
                  <c:v>281.3</c:v>
                </c:pt>
                <c:pt idx="43">
                  <c:v>281.2</c:v>
                </c:pt>
                <c:pt idx="44">
                  <c:v>281.10000000000002</c:v>
                </c:pt>
                <c:pt idx="45">
                  <c:v>281</c:v>
                </c:pt>
                <c:pt idx="46">
                  <c:v>280.89999999999998</c:v>
                </c:pt>
                <c:pt idx="47">
                  <c:v>280.8</c:v>
                </c:pt>
                <c:pt idx="48">
                  <c:v>280.7</c:v>
                </c:pt>
                <c:pt idx="49">
                  <c:v>280.60000000000002</c:v>
                </c:pt>
                <c:pt idx="50">
                  <c:v>280.5</c:v>
                </c:pt>
                <c:pt idx="51">
                  <c:v>280.39999999999998</c:v>
                </c:pt>
                <c:pt idx="52">
                  <c:v>280.3</c:v>
                </c:pt>
                <c:pt idx="53">
                  <c:v>280.2</c:v>
                </c:pt>
                <c:pt idx="54">
                  <c:v>280.10000000000002</c:v>
                </c:pt>
                <c:pt idx="55">
                  <c:v>280</c:v>
                </c:pt>
                <c:pt idx="56">
                  <c:v>279.89999999999998</c:v>
                </c:pt>
                <c:pt idx="57">
                  <c:v>279.8</c:v>
                </c:pt>
                <c:pt idx="58">
                  <c:v>279.7</c:v>
                </c:pt>
                <c:pt idx="59">
                  <c:v>279.60000000000002</c:v>
                </c:pt>
                <c:pt idx="60">
                  <c:v>279.5</c:v>
                </c:pt>
                <c:pt idx="61">
                  <c:v>279.39999999999998</c:v>
                </c:pt>
                <c:pt idx="62">
                  <c:v>279.3</c:v>
                </c:pt>
                <c:pt idx="63">
                  <c:v>279.2</c:v>
                </c:pt>
                <c:pt idx="64">
                  <c:v>279.10000000000002</c:v>
                </c:pt>
                <c:pt idx="65">
                  <c:v>279</c:v>
                </c:pt>
                <c:pt idx="66">
                  <c:v>278.89999999999998</c:v>
                </c:pt>
                <c:pt idx="67">
                  <c:v>278.8</c:v>
                </c:pt>
                <c:pt idx="68">
                  <c:v>278.7</c:v>
                </c:pt>
                <c:pt idx="69">
                  <c:v>278.60000000000002</c:v>
                </c:pt>
                <c:pt idx="70">
                  <c:v>278.5</c:v>
                </c:pt>
                <c:pt idx="71">
                  <c:v>278.39999999999998</c:v>
                </c:pt>
                <c:pt idx="72">
                  <c:v>278.3</c:v>
                </c:pt>
                <c:pt idx="73">
                  <c:v>278.2</c:v>
                </c:pt>
                <c:pt idx="74">
                  <c:v>278.10000000000002</c:v>
                </c:pt>
                <c:pt idx="75">
                  <c:v>278</c:v>
                </c:pt>
                <c:pt idx="76">
                  <c:v>277.89999999999998</c:v>
                </c:pt>
                <c:pt idx="77">
                  <c:v>277.8</c:v>
                </c:pt>
                <c:pt idx="78">
                  <c:v>277.7</c:v>
                </c:pt>
                <c:pt idx="79">
                  <c:v>277.60000000000002</c:v>
                </c:pt>
                <c:pt idx="80">
                  <c:v>277.5</c:v>
                </c:pt>
                <c:pt idx="81">
                  <c:v>277.39999999999998</c:v>
                </c:pt>
                <c:pt idx="82">
                  <c:v>277.3</c:v>
                </c:pt>
                <c:pt idx="83">
                  <c:v>277.2</c:v>
                </c:pt>
                <c:pt idx="84">
                  <c:v>277.10000000000002</c:v>
                </c:pt>
                <c:pt idx="85">
                  <c:v>277</c:v>
                </c:pt>
                <c:pt idx="86">
                  <c:v>276.89999999999998</c:v>
                </c:pt>
                <c:pt idx="87">
                  <c:v>276.8</c:v>
                </c:pt>
                <c:pt idx="88">
                  <c:v>276.7</c:v>
                </c:pt>
                <c:pt idx="89">
                  <c:v>276.60000000000002</c:v>
                </c:pt>
                <c:pt idx="90">
                  <c:v>276.5</c:v>
                </c:pt>
                <c:pt idx="91">
                  <c:v>276.39999999999998</c:v>
                </c:pt>
                <c:pt idx="92">
                  <c:v>276.3</c:v>
                </c:pt>
                <c:pt idx="93">
                  <c:v>276.2</c:v>
                </c:pt>
                <c:pt idx="94">
                  <c:v>276.10000000000002</c:v>
                </c:pt>
                <c:pt idx="95">
                  <c:v>276</c:v>
                </c:pt>
                <c:pt idx="96">
                  <c:v>275.89999999999998</c:v>
                </c:pt>
                <c:pt idx="97">
                  <c:v>275.8</c:v>
                </c:pt>
                <c:pt idx="98">
                  <c:v>275.7</c:v>
                </c:pt>
                <c:pt idx="99">
                  <c:v>275.60000000000002</c:v>
                </c:pt>
                <c:pt idx="100">
                  <c:v>275.5</c:v>
                </c:pt>
                <c:pt idx="101">
                  <c:v>275.39999999999998</c:v>
                </c:pt>
                <c:pt idx="102">
                  <c:v>275.3</c:v>
                </c:pt>
                <c:pt idx="103">
                  <c:v>275.2</c:v>
                </c:pt>
                <c:pt idx="104">
                  <c:v>275.10000000000002</c:v>
                </c:pt>
                <c:pt idx="105">
                  <c:v>275</c:v>
                </c:pt>
                <c:pt idx="106">
                  <c:v>274.89999999999998</c:v>
                </c:pt>
                <c:pt idx="107">
                  <c:v>274.8</c:v>
                </c:pt>
                <c:pt idx="108">
                  <c:v>274.7</c:v>
                </c:pt>
                <c:pt idx="109">
                  <c:v>274.60000000000002</c:v>
                </c:pt>
                <c:pt idx="110">
                  <c:v>274.5</c:v>
                </c:pt>
                <c:pt idx="111">
                  <c:v>274.39999999999998</c:v>
                </c:pt>
                <c:pt idx="112">
                  <c:v>274.3</c:v>
                </c:pt>
                <c:pt idx="113">
                  <c:v>274.2</c:v>
                </c:pt>
                <c:pt idx="114">
                  <c:v>274.10000000000002</c:v>
                </c:pt>
                <c:pt idx="115">
                  <c:v>274</c:v>
                </c:pt>
                <c:pt idx="116">
                  <c:v>273.89999999999998</c:v>
                </c:pt>
                <c:pt idx="117">
                  <c:v>273.8</c:v>
                </c:pt>
                <c:pt idx="118">
                  <c:v>273.7</c:v>
                </c:pt>
                <c:pt idx="119">
                  <c:v>273.60000000000002</c:v>
                </c:pt>
                <c:pt idx="120">
                  <c:v>273.5</c:v>
                </c:pt>
              </c:numCache>
            </c:numRef>
          </c:xVal>
          <c:yVal>
            <c:numRef>
              <c:f>'Registro Original'!$AC$3950:$AC$4070</c:f>
              <c:numCache>
                <c:formatCode>0.0000</c:formatCode>
                <c:ptCount val="121"/>
                <c:pt idx="0">
                  <c:v>0.21689717464128469</c:v>
                </c:pt>
                <c:pt idx="1">
                  <c:v>0.2161607124979433</c:v>
                </c:pt>
                <c:pt idx="2">
                  <c:v>0.21506904468312901</c:v>
                </c:pt>
                <c:pt idx="3">
                  <c:v>0.21450644547402564</c:v>
                </c:pt>
                <c:pt idx="4">
                  <c:v>0.2138166544323665</c:v>
                </c:pt>
                <c:pt idx="5">
                  <c:v>0.21256786536099753</c:v>
                </c:pt>
                <c:pt idx="6">
                  <c:v>0.21252535623534291</c:v>
                </c:pt>
                <c:pt idx="7">
                  <c:v>0.21259620708984908</c:v>
                </c:pt>
                <c:pt idx="8">
                  <c:v>0.21344022063841345</c:v>
                </c:pt>
                <c:pt idx="9">
                  <c:v>0.21422186280446928</c:v>
                </c:pt>
                <c:pt idx="10">
                  <c:v>0.21419341479123363</c:v>
                </c:pt>
                <c:pt idx="11">
                  <c:v>0.21366746238895676</c:v>
                </c:pt>
                <c:pt idx="12">
                  <c:v>0.21468440438600808</c:v>
                </c:pt>
                <c:pt idx="13">
                  <c:v>0.21503341552623348</c:v>
                </c:pt>
                <c:pt idx="14">
                  <c:v>0.21474848744968245</c:v>
                </c:pt>
                <c:pt idx="15">
                  <c:v>0.2148268240376757</c:v>
                </c:pt>
                <c:pt idx="16">
                  <c:v>0.2152044621432381</c:v>
                </c:pt>
                <c:pt idx="17">
                  <c:v>0.21702600505595174</c:v>
                </c:pt>
                <c:pt idx="18">
                  <c:v>0.21792171646924635</c:v>
                </c:pt>
                <c:pt idx="19">
                  <c:v>0.21859651050395765</c:v>
                </c:pt>
                <c:pt idx="20">
                  <c:v>0.21865398822593385</c:v>
                </c:pt>
                <c:pt idx="21">
                  <c:v>0.21979793883429355</c:v>
                </c:pt>
                <c:pt idx="22">
                  <c:v>0.22172571694195639</c:v>
                </c:pt>
                <c:pt idx="23">
                  <c:v>0.22351674416631839</c:v>
                </c:pt>
                <c:pt idx="24">
                  <c:v>0.22460802830338808</c:v>
                </c:pt>
                <c:pt idx="25">
                  <c:v>0.22454975720684237</c:v>
                </c:pt>
                <c:pt idx="26">
                  <c:v>0.22622086643526471</c:v>
                </c:pt>
                <c:pt idx="27">
                  <c:v>0.2273849501508291</c:v>
                </c:pt>
                <c:pt idx="28">
                  <c:v>0.22981097726400673</c:v>
                </c:pt>
                <c:pt idx="29">
                  <c:v>0.23192455234826245</c:v>
                </c:pt>
                <c:pt idx="30">
                  <c:v>0.2345177178073857</c:v>
                </c:pt>
                <c:pt idx="31">
                  <c:v>0.23666186976432821</c:v>
                </c:pt>
                <c:pt idx="32">
                  <c:v>0.23859091971043675</c:v>
                </c:pt>
                <c:pt idx="33">
                  <c:v>0.24070240752047956</c:v>
                </c:pt>
                <c:pt idx="34">
                  <c:v>0.24340952929892343</c:v>
                </c:pt>
                <c:pt idx="35">
                  <c:v>0.24630972113817376</c:v>
                </c:pt>
                <c:pt idx="36">
                  <c:v>0.2487825024401816</c:v>
                </c:pt>
                <c:pt idx="37">
                  <c:v>0.25202917453966384</c:v>
                </c:pt>
                <c:pt idx="38">
                  <c:v>0.25433197383444173</c:v>
                </c:pt>
                <c:pt idx="39">
                  <c:v>0.25731413760277483</c:v>
                </c:pt>
                <c:pt idx="40">
                  <c:v>0.26030901206278767</c:v>
                </c:pt>
                <c:pt idx="41">
                  <c:v>0.26395426240345798</c:v>
                </c:pt>
                <c:pt idx="42">
                  <c:v>0.26878203399252393</c:v>
                </c:pt>
                <c:pt idx="43">
                  <c:v>0.27401490304789361</c:v>
                </c:pt>
                <c:pt idx="44">
                  <c:v>0.27981588047553102</c:v>
                </c:pt>
                <c:pt idx="45">
                  <c:v>0.28614839499181527</c:v>
                </c:pt>
                <c:pt idx="46">
                  <c:v>0.29346996901914679</c:v>
                </c:pt>
                <c:pt idx="47">
                  <c:v>0.30271833575574197</c:v>
                </c:pt>
                <c:pt idx="48">
                  <c:v>0.31297964830629227</c:v>
                </c:pt>
                <c:pt idx="49">
                  <c:v>0.32548790414703999</c:v>
                </c:pt>
                <c:pt idx="50">
                  <c:v>0.33881223958867657</c:v>
                </c:pt>
                <c:pt idx="51">
                  <c:v>0.35384143013788766</c:v>
                </c:pt>
                <c:pt idx="52">
                  <c:v>0.37044769845868297</c:v>
                </c:pt>
                <c:pt idx="53">
                  <c:v>0.38961668141723876</c:v>
                </c:pt>
                <c:pt idx="54">
                  <c:v>0.41010622417496728</c:v>
                </c:pt>
                <c:pt idx="55">
                  <c:v>0.43023996241365042</c:v>
                </c:pt>
                <c:pt idx="56">
                  <c:v>0.45035925936771509</c:v>
                </c:pt>
                <c:pt idx="57">
                  <c:v>0.46926257087594714</c:v>
                </c:pt>
                <c:pt idx="58">
                  <c:v>0.48680904458263552</c:v>
                </c:pt>
                <c:pt idx="59">
                  <c:v>0.50138623530024196</c:v>
                </c:pt>
                <c:pt idx="60">
                  <c:v>0.5132579044660126</c:v>
                </c:pt>
                <c:pt idx="61">
                  <c:v>0.51987802738202515</c:v>
                </c:pt>
                <c:pt idx="62">
                  <c:v>0.52075589905517594</c:v>
                </c:pt>
                <c:pt idx="63">
                  <c:v>0.51579984623636865</c:v>
                </c:pt>
                <c:pt idx="64">
                  <c:v>0.50527507314521369</c:v>
                </c:pt>
                <c:pt idx="65">
                  <c:v>0.49140295376993148</c:v>
                </c:pt>
                <c:pt idx="66">
                  <c:v>0.47525346769855398</c:v>
                </c:pt>
                <c:pt idx="67">
                  <c:v>0.45748578371834603</c:v>
                </c:pt>
                <c:pt idx="68">
                  <c:v>0.43934029405019809</c:v>
                </c:pt>
                <c:pt idx="69">
                  <c:v>0.42057084084284485</c:v>
                </c:pt>
                <c:pt idx="70">
                  <c:v>0.40120949323688493</c:v>
                </c:pt>
                <c:pt idx="71">
                  <c:v>0.38432344016675507</c:v>
                </c:pt>
                <c:pt idx="72">
                  <c:v>0.36950093499335568</c:v>
                </c:pt>
                <c:pt idx="73">
                  <c:v>0.35639929380770297</c:v>
                </c:pt>
                <c:pt idx="74">
                  <c:v>0.34541920357189737</c:v>
                </c:pt>
                <c:pt idx="75">
                  <c:v>0.33555547590529033</c:v>
                </c:pt>
                <c:pt idx="76">
                  <c:v>0.32744960282327501</c:v>
                </c:pt>
                <c:pt idx="77">
                  <c:v>0.32080839478110595</c:v>
                </c:pt>
                <c:pt idx="78">
                  <c:v>0.3153610670167743</c:v>
                </c:pt>
                <c:pt idx="79">
                  <c:v>0.31077996273616443</c:v>
                </c:pt>
                <c:pt idx="80">
                  <c:v>0.30756731148584981</c:v>
                </c:pt>
                <c:pt idx="81">
                  <c:v>0.30443077296381443</c:v>
                </c:pt>
                <c:pt idx="82">
                  <c:v>0.30284042902642389</c:v>
                </c:pt>
                <c:pt idx="83">
                  <c:v>0.30069137801181978</c:v>
                </c:pt>
                <c:pt idx="84">
                  <c:v>0.29924437824978728</c:v>
                </c:pt>
                <c:pt idx="85">
                  <c:v>0.29851836437907286</c:v>
                </c:pt>
                <c:pt idx="86">
                  <c:v>0.29853563632649521</c:v>
                </c:pt>
                <c:pt idx="87">
                  <c:v>0.29859609355244421</c:v>
                </c:pt>
                <c:pt idx="88">
                  <c:v>0.29751776490767801</c:v>
                </c:pt>
                <c:pt idx="89">
                  <c:v>0.29712161294050116</c:v>
                </c:pt>
                <c:pt idx="90">
                  <c:v>0.29631320697035529</c:v>
                </c:pt>
                <c:pt idx="91">
                  <c:v>0.2957293392515436</c:v>
                </c:pt>
                <c:pt idx="92">
                  <c:v>0.29561780680331068</c:v>
                </c:pt>
                <c:pt idx="93">
                  <c:v>0.29487213369553045</c:v>
                </c:pt>
                <c:pt idx="94">
                  <c:v>0.29511198075277634</c:v>
                </c:pt>
                <c:pt idx="95">
                  <c:v>0.2947779442946164</c:v>
                </c:pt>
                <c:pt idx="96">
                  <c:v>0.29524909570932889</c:v>
                </c:pt>
                <c:pt idx="97">
                  <c:v>0.29580657080584521</c:v>
                </c:pt>
                <c:pt idx="98">
                  <c:v>0.29673442231988811</c:v>
                </c:pt>
                <c:pt idx="99">
                  <c:v>0.29815581206845987</c:v>
                </c:pt>
                <c:pt idx="100">
                  <c:v>0.29829389154880692</c:v>
                </c:pt>
                <c:pt idx="101">
                  <c:v>0.29861336859150384</c:v>
                </c:pt>
                <c:pt idx="102">
                  <c:v>0.29953858640196052</c:v>
                </c:pt>
                <c:pt idx="103">
                  <c:v>0.29942607151418338</c:v>
                </c:pt>
                <c:pt idx="104">
                  <c:v>0.29990229538694618</c:v>
                </c:pt>
                <c:pt idx="105">
                  <c:v>0.3001102659317576</c:v>
                </c:pt>
                <c:pt idx="106">
                  <c:v>0.2998503183080854</c:v>
                </c:pt>
                <c:pt idx="107">
                  <c:v>0.29972906264356314</c:v>
                </c:pt>
                <c:pt idx="108">
                  <c:v>0.30047445419788193</c:v>
                </c:pt>
                <c:pt idx="109">
                  <c:v>0.30129065055741316</c:v>
                </c:pt>
                <c:pt idx="110">
                  <c:v>0.30100393877676584</c:v>
                </c:pt>
                <c:pt idx="111">
                  <c:v>0.30086499510897824</c:v>
                </c:pt>
                <c:pt idx="112">
                  <c:v>0.3004657794986057</c:v>
                </c:pt>
                <c:pt idx="113">
                  <c:v>0.30021428856265092</c:v>
                </c:pt>
                <c:pt idx="114">
                  <c:v>0.30020561905837567</c:v>
                </c:pt>
                <c:pt idx="115">
                  <c:v>0.30067402011885569</c:v>
                </c:pt>
                <c:pt idx="116">
                  <c:v>0.30066534143252704</c:v>
                </c:pt>
                <c:pt idx="117">
                  <c:v>0.30043975644035109</c:v>
                </c:pt>
                <c:pt idx="118">
                  <c:v>0.29946934302140826</c:v>
                </c:pt>
                <c:pt idx="119">
                  <c:v>0.2997723643517502</c:v>
                </c:pt>
                <c:pt idx="120">
                  <c:v>0.2998503183080854</c:v>
                </c:pt>
              </c:numCache>
            </c:numRef>
          </c:yVal>
          <c:smooth val="1"/>
          <c:extLst>
            <c:ext xmlns:c16="http://schemas.microsoft.com/office/drawing/2014/chart" uri="{C3380CC4-5D6E-409C-BE32-E72D297353CC}">
              <c16:uniqueId val="{00000000-297A-4022-BDDF-27C17AB4E93F}"/>
            </c:ext>
          </c:extLst>
        </c:ser>
        <c:ser>
          <c:idx val="1"/>
          <c:order val="1"/>
          <c:tx>
            <c:v>Pico 2 - CAL1</c:v>
          </c:tx>
          <c:spPr>
            <a:ln>
              <a:solidFill>
                <a:srgbClr val="FF0000"/>
              </a:solidFill>
            </a:ln>
          </c:spPr>
          <c:marker>
            <c:symbol val="none"/>
          </c:marker>
          <c:xVal>
            <c:numRef>
              <c:f>'Registro Original'!$B$302:$B$326</c:f>
              <c:numCache>
                <c:formatCode>0.0</c:formatCode>
                <c:ptCount val="25"/>
                <c:pt idx="0">
                  <c:v>291</c:v>
                </c:pt>
                <c:pt idx="1">
                  <c:v>290</c:v>
                </c:pt>
                <c:pt idx="2">
                  <c:v>289</c:v>
                </c:pt>
                <c:pt idx="3">
                  <c:v>288</c:v>
                </c:pt>
                <c:pt idx="4">
                  <c:v>287</c:v>
                </c:pt>
                <c:pt idx="5">
                  <c:v>286</c:v>
                </c:pt>
                <c:pt idx="6">
                  <c:v>285</c:v>
                </c:pt>
                <c:pt idx="7">
                  <c:v>284</c:v>
                </c:pt>
                <c:pt idx="8">
                  <c:v>283</c:v>
                </c:pt>
                <c:pt idx="9">
                  <c:v>282</c:v>
                </c:pt>
                <c:pt idx="10">
                  <c:v>281</c:v>
                </c:pt>
                <c:pt idx="11">
                  <c:v>280</c:v>
                </c:pt>
                <c:pt idx="12">
                  <c:v>279</c:v>
                </c:pt>
                <c:pt idx="13">
                  <c:v>278</c:v>
                </c:pt>
                <c:pt idx="14">
                  <c:v>277</c:v>
                </c:pt>
                <c:pt idx="15">
                  <c:v>276</c:v>
                </c:pt>
                <c:pt idx="16">
                  <c:v>275</c:v>
                </c:pt>
                <c:pt idx="17">
                  <c:v>274</c:v>
                </c:pt>
                <c:pt idx="18">
                  <c:v>273</c:v>
                </c:pt>
                <c:pt idx="19">
                  <c:v>272</c:v>
                </c:pt>
                <c:pt idx="20">
                  <c:v>271</c:v>
                </c:pt>
                <c:pt idx="21">
                  <c:v>270</c:v>
                </c:pt>
                <c:pt idx="22">
                  <c:v>269</c:v>
                </c:pt>
                <c:pt idx="23">
                  <c:v>268</c:v>
                </c:pt>
                <c:pt idx="24">
                  <c:v>267</c:v>
                </c:pt>
              </c:numCache>
            </c:numRef>
          </c:xVal>
          <c:yVal>
            <c:numRef>
              <c:f>'Registro Original'!$C$302:$C$326</c:f>
              <c:numCache>
                <c:formatCode>0.000</c:formatCode>
                <c:ptCount val="25"/>
                <c:pt idx="6">
                  <c:v>0.20599999999999999</c:v>
                </c:pt>
                <c:pt idx="7">
                  <c:v>0.20399999999999999</c:v>
                </c:pt>
                <c:pt idx="8">
                  <c:v>0.222</c:v>
                </c:pt>
                <c:pt idx="9">
                  <c:v>0.253</c:v>
                </c:pt>
                <c:pt idx="10">
                  <c:v>0.28799999999999998</c:v>
                </c:pt>
                <c:pt idx="11">
                  <c:v>0.315</c:v>
                </c:pt>
                <c:pt idx="12">
                  <c:v>0.32</c:v>
                </c:pt>
                <c:pt idx="13">
                  <c:v>0.31</c:v>
                </c:pt>
                <c:pt idx="14">
                  <c:v>0.29299999999999998</c:v>
                </c:pt>
                <c:pt idx="15">
                  <c:v>0.28000000000000003</c:v>
                </c:pt>
                <c:pt idx="16">
                  <c:v>0.28000000000000003</c:v>
                </c:pt>
                <c:pt idx="17">
                  <c:v>0.28299999999999997</c:v>
                </c:pt>
                <c:pt idx="18">
                  <c:v>0.28799999999999998</c:v>
                </c:pt>
              </c:numCache>
            </c:numRef>
          </c:yVal>
          <c:smooth val="1"/>
          <c:extLst>
            <c:ext xmlns:c16="http://schemas.microsoft.com/office/drawing/2014/chart" uri="{C3380CC4-5D6E-409C-BE32-E72D297353CC}">
              <c16:uniqueId val="{00000001-297A-4022-BDDF-27C17AB4E93F}"/>
            </c:ext>
          </c:extLst>
        </c:ser>
        <c:ser>
          <c:idx val="2"/>
          <c:order val="2"/>
          <c:tx>
            <c:v>Pico 2 - Largura de banda</c:v>
          </c:tx>
          <c:spPr>
            <a:ln w="15875">
              <a:solidFill>
                <a:srgbClr val="FFC000"/>
              </a:solidFill>
            </a:ln>
          </c:spPr>
          <c:marker>
            <c:symbol val="none"/>
          </c:marker>
          <c:xVal>
            <c:numRef>
              <c:f>'Registro Original'!$AE$304:$CM$304</c:f>
              <c:numCache>
                <c:formatCode>0.0</c:formatCode>
                <c:ptCount val="61"/>
                <c:pt idx="0">
                  <c:v>273.5</c:v>
                </c:pt>
                <c:pt idx="1">
                  <c:v>273.7</c:v>
                </c:pt>
                <c:pt idx="2">
                  <c:v>273.89999999999998</c:v>
                </c:pt>
                <c:pt idx="3">
                  <c:v>274.09999999999997</c:v>
                </c:pt>
                <c:pt idx="4">
                  <c:v>274.29999999999995</c:v>
                </c:pt>
                <c:pt idx="5">
                  <c:v>274.49999999999994</c:v>
                </c:pt>
                <c:pt idx="6">
                  <c:v>274.69999999999993</c:v>
                </c:pt>
                <c:pt idx="7">
                  <c:v>274.89999999999992</c:v>
                </c:pt>
                <c:pt idx="8">
                  <c:v>275.09999999999991</c:v>
                </c:pt>
                <c:pt idx="9">
                  <c:v>275.2999999999999</c:v>
                </c:pt>
                <c:pt idx="10">
                  <c:v>275.49999999999989</c:v>
                </c:pt>
                <c:pt idx="11">
                  <c:v>275.69999999999987</c:v>
                </c:pt>
                <c:pt idx="12">
                  <c:v>275.89999999999986</c:v>
                </c:pt>
                <c:pt idx="13">
                  <c:v>276.09999999999985</c:v>
                </c:pt>
                <c:pt idx="14">
                  <c:v>276.29999999999984</c:v>
                </c:pt>
                <c:pt idx="15">
                  <c:v>276.49999999999983</c:v>
                </c:pt>
                <c:pt idx="16">
                  <c:v>276.69999999999982</c:v>
                </c:pt>
                <c:pt idx="17">
                  <c:v>276.89999999999981</c:v>
                </c:pt>
                <c:pt idx="18">
                  <c:v>277.0999999999998</c:v>
                </c:pt>
                <c:pt idx="19">
                  <c:v>277.29999999999978</c:v>
                </c:pt>
                <c:pt idx="20">
                  <c:v>277.49999999999977</c:v>
                </c:pt>
                <c:pt idx="21">
                  <c:v>277.69999999999976</c:v>
                </c:pt>
                <c:pt idx="22">
                  <c:v>277.89999999999975</c:v>
                </c:pt>
                <c:pt idx="23">
                  <c:v>278.09999999999974</c:v>
                </c:pt>
                <c:pt idx="24">
                  <c:v>278.29999999999973</c:v>
                </c:pt>
                <c:pt idx="25">
                  <c:v>278.49999999999972</c:v>
                </c:pt>
                <c:pt idx="26">
                  <c:v>278.6999999999997</c:v>
                </c:pt>
                <c:pt idx="27">
                  <c:v>278.89999999999969</c:v>
                </c:pt>
                <c:pt idx="28">
                  <c:v>279.09999999999968</c:v>
                </c:pt>
                <c:pt idx="29">
                  <c:v>279.29999999999967</c:v>
                </c:pt>
                <c:pt idx="30">
                  <c:v>279.49999999999966</c:v>
                </c:pt>
                <c:pt idx="31">
                  <c:v>279.69999999999965</c:v>
                </c:pt>
                <c:pt idx="32">
                  <c:v>279.89999999999964</c:v>
                </c:pt>
                <c:pt idx="33">
                  <c:v>280.09999999999962</c:v>
                </c:pt>
                <c:pt idx="34">
                  <c:v>280.29999999999961</c:v>
                </c:pt>
                <c:pt idx="35">
                  <c:v>280.4999999999996</c:v>
                </c:pt>
                <c:pt idx="36">
                  <c:v>280.69999999999959</c:v>
                </c:pt>
                <c:pt idx="37">
                  <c:v>280.89999999999958</c:v>
                </c:pt>
                <c:pt idx="38">
                  <c:v>281.09999999999957</c:v>
                </c:pt>
                <c:pt idx="39">
                  <c:v>281.29999999999956</c:v>
                </c:pt>
                <c:pt idx="40">
                  <c:v>281.49999999999955</c:v>
                </c:pt>
                <c:pt idx="41">
                  <c:v>281.69999999999953</c:v>
                </c:pt>
                <c:pt idx="42">
                  <c:v>281.89999999999952</c:v>
                </c:pt>
                <c:pt idx="43">
                  <c:v>282.09999999999951</c:v>
                </c:pt>
                <c:pt idx="44">
                  <c:v>282.2999999999995</c:v>
                </c:pt>
                <c:pt idx="45">
                  <c:v>282.49999999999949</c:v>
                </c:pt>
                <c:pt idx="46">
                  <c:v>282.69999999999948</c:v>
                </c:pt>
                <c:pt idx="47">
                  <c:v>282.89999999999947</c:v>
                </c:pt>
                <c:pt idx="48">
                  <c:v>283.09999999999945</c:v>
                </c:pt>
                <c:pt idx="49">
                  <c:v>283.29999999999944</c:v>
                </c:pt>
                <c:pt idx="50">
                  <c:v>283.49999999999943</c:v>
                </c:pt>
                <c:pt idx="51">
                  <c:v>283.69999999999942</c:v>
                </c:pt>
                <c:pt idx="52">
                  <c:v>283.89999999999941</c:v>
                </c:pt>
                <c:pt idx="53">
                  <c:v>284.0999999999994</c:v>
                </c:pt>
                <c:pt idx="54">
                  <c:v>284.29999999999939</c:v>
                </c:pt>
                <c:pt idx="55">
                  <c:v>284.49999999999937</c:v>
                </c:pt>
                <c:pt idx="56">
                  <c:v>284.69999999999936</c:v>
                </c:pt>
                <c:pt idx="57">
                  <c:v>284.89999999999935</c:v>
                </c:pt>
                <c:pt idx="58">
                  <c:v>285.09999999999934</c:v>
                </c:pt>
                <c:pt idx="59">
                  <c:v>285.29999999999933</c:v>
                </c:pt>
                <c:pt idx="60">
                  <c:v>285.49999999999932</c:v>
                </c:pt>
              </c:numCache>
            </c:numRef>
          </c:xVal>
          <c:yVal>
            <c:numRef>
              <c:f>'Registro Original'!$AE$305:$CM$305</c:f>
              <c:numCache>
                <c:formatCode>0.0000</c:formatCode>
                <c:ptCount val="61"/>
                <c:pt idx="0">
                  <c:v>0.40965000000000001</c:v>
                </c:pt>
                <c:pt idx="1">
                  <c:v>0.40965000000000001</c:v>
                </c:pt>
                <c:pt idx="2">
                  <c:v>0.40965000000000001</c:v>
                </c:pt>
                <c:pt idx="3">
                  <c:v>0.40965000000000001</c:v>
                </c:pt>
                <c:pt idx="4">
                  <c:v>0.40965000000000001</c:v>
                </c:pt>
                <c:pt idx="5">
                  <c:v>0.40965000000000001</c:v>
                </c:pt>
                <c:pt idx="6">
                  <c:v>0.40965000000000001</c:v>
                </c:pt>
                <c:pt idx="7">
                  <c:v>0.40965000000000001</c:v>
                </c:pt>
                <c:pt idx="8">
                  <c:v>0.40965000000000001</c:v>
                </c:pt>
                <c:pt idx="9">
                  <c:v>0.40965000000000001</c:v>
                </c:pt>
                <c:pt idx="10">
                  <c:v>0.40965000000000001</c:v>
                </c:pt>
                <c:pt idx="11">
                  <c:v>0.40965000000000001</c:v>
                </c:pt>
                <c:pt idx="12">
                  <c:v>0.40965000000000001</c:v>
                </c:pt>
                <c:pt idx="13">
                  <c:v>0.40965000000000001</c:v>
                </c:pt>
                <c:pt idx="14">
                  <c:v>0.40965000000000001</c:v>
                </c:pt>
                <c:pt idx="15">
                  <c:v>0.40965000000000001</c:v>
                </c:pt>
                <c:pt idx="16">
                  <c:v>0.40965000000000001</c:v>
                </c:pt>
                <c:pt idx="17">
                  <c:v>0.40965000000000001</c:v>
                </c:pt>
                <c:pt idx="18">
                  <c:v>0.40965000000000001</c:v>
                </c:pt>
                <c:pt idx="19">
                  <c:v>0.40965000000000001</c:v>
                </c:pt>
                <c:pt idx="20">
                  <c:v>0.40965000000000001</c:v>
                </c:pt>
                <c:pt idx="21">
                  <c:v>0.40965000000000001</c:v>
                </c:pt>
                <c:pt idx="22">
                  <c:v>0.40965000000000001</c:v>
                </c:pt>
                <c:pt idx="23">
                  <c:v>0.40965000000000001</c:v>
                </c:pt>
                <c:pt idx="24">
                  <c:v>0.40965000000000001</c:v>
                </c:pt>
                <c:pt idx="25">
                  <c:v>0.40965000000000001</c:v>
                </c:pt>
                <c:pt idx="26">
                  <c:v>0.40965000000000001</c:v>
                </c:pt>
                <c:pt idx="27">
                  <c:v>0.40965000000000001</c:v>
                </c:pt>
                <c:pt idx="28">
                  <c:v>0.40965000000000001</c:v>
                </c:pt>
                <c:pt idx="29">
                  <c:v>0.40965000000000001</c:v>
                </c:pt>
                <c:pt idx="30">
                  <c:v>0.40965000000000001</c:v>
                </c:pt>
                <c:pt idx="31">
                  <c:v>0.40965000000000001</c:v>
                </c:pt>
                <c:pt idx="32">
                  <c:v>0.40965000000000001</c:v>
                </c:pt>
                <c:pt idx="33">
                  <c:v>0.40965000000000001</c:v>
                </c:pt>
                <c:pt idx="34">
                  <c:v>0.40965000000000001</c:v>
                </c:pt>
                <c:pt idx="35">
                  <c:v>0.40965000000000001</c:v>
                </c:pt>
                <c:pt idx="36">
                  <c:v>0.40965000000000001</c:v>
                </c:pt>
                <c:pt idx="37">
                  <c:v>0.40965000000000001</c:v>
                </c:pt>
                <c:pt idx="38">
                  <c:v>0.40965000000000001</c:v>
                </c:pt>
                <c:pt idx="39">
                  <c:v>0.40965000000000001</c:v>
                </c:pt>
                <c:pt idx="40">
                  <c:v>0.40965000000000001</c:v>
                </c:pt>
                <c:pt idx="41">
                  <c:v>0.40965000000000001</c:v>
                </c:pt>
                <c:pt idx="42">
                  <c:v>0.40965000000000001</c:v>
                </c:pt>
                <c:pt idx="43">
                  <c:v>0.40965000000000001</c:v>
                </c:pt>
                <c:pt idx="44">
                  <c:v>0.40965000000000001</c:v>
                </c:pt>
                <c:pt idx="45">
                  <c:v>0.40965000000000001</c:v>
                </c:pt>
                <c:pt idx="46">
                  <c:v>0.40965000000000001</c:v>
                </c:pt>
                <c:pt idx="47">
                  <c:v>0.40965000000000001</c:v>
                </c:pt>
                <c:pt idx="48">
                  <c:v>0.40965000000000001</c:v>
                </c:pt>
                <c:pt idx="49">
                  <c:v>0.40965000000000001</c:v>
                </c:pt>
                <c:pt idx="50">
                  <c:v>0.40965000000000001</c:v>
                </c:pt>
                <c:pt idx="51">
                  <c:v>0.40965000000000001</c:v>
                </c:pt>
                <c:pt idx="52">
                  <c:v>0.40965000000000001</c:v>
                </c:pt>
                <c:pt idx="53">
                  <c:v>0.40965000000000001</c:v>
                </c:pt>
                <c:pt idx="54">
                  <c:v>0.40965000000000001</c:v>
                </c:pt>
                <c:pt idx="55">
                  <c:v>0.40965000000000001</c:v>
                </c:pt>
                <c:pt idx="56">
                  <c:v>0.40965000000000001</c:v>
                </c:pt>
                <c:pt idx="57">
                  <c:v>0.40965000000000001</c:v>
                </c:pt>
                <c:pt idx="58">
                  <c:v>0.40965000000000001</c:v>
                </c:pt>
                <c:pt idx="59">
                  <c:v>0.40965000000000001</c:v>
                </c:pt>
                <c:pt idx="60">
                  <c:v>0.40965000000000001</c:v>
                </c:pt>
              </c:numCache>
            </c:numRef>
          </c:yVal>
          <c:smooth val="1"/>
          <c:extLst>
            <c:ext xmlns:c16="http://schemas.microsoft.com/office/drawing/2014/chart" uri="{C3380CC4-5D6E-409C-BE32-E72D297353CC}">
              <c16:uniqueId val="{00000002-297A-4022-BDDF-27C17AB4E93F}"/>
            </c:ext>
          </c:extLst>
        </c:ser>
        <c:ser>
          <c:idx val="3"/>
          <c:order val="3"/>
          <c:tx>
            <c:v>Pico 2 - CAL 2</c:v>
          </c:tx>
          <c:spPr>
            <a:ln>
              <a:solidFill>
                <a:srgbClr val="00B050"/>
              </a:solidFill>
            </a:ln>
          </c:spPr>
          <c:marker>
            <c:symbol val="none"/>
          </c:marker>
          <c:xVal>
            <c:numRef>
              <c:f>'Registro Original'!$E$302:$E$326</c:f>
              <c:numCache>
                <c:formatCode>0.0</c:formatCode>
                <c:ptCount val="25"/>
                <c:pt idx="0">
                  <c:v>285</c:v>
                </c:pt>
                <c:pt idx="1">
                  <c:v>284.5</c:v>
                </c:pt>
                <c:pt idx="2">
                  <c:v>284</c:v>
                </c:pt>
                <c:pt idx="3">
                  <c:v>283.5</c:v>
                </c:pt>
                <c:pt idx="4">
                  <c:v>283</c:v>
                </c:pt>
                <c:pt idx="5">
                  <c:v>282.5</c:v>
                </c:pt>
                <c:pt idx="6">
                  <c:v>282</c:v>
                </c:pt>
                <c:pt idx="7">
                  <c:v>281.5</c:v>
                </c:pt>
                <c:pt idx="8">
                  <c:v>281</c:v>
                </c:pt>
                <c:pt idx="9">
                  <c:v>280.5</c:v>
                </c:pt>
                <c:pt idx="10">
                  <c:v>280</c:v>
                </c:pt>
                <c:pt idx="11">
                  <c:v>279.5</c:v>
                </c:pt>
                <c:pt idx="12">
                  <c:v>279</c:v>
                </c:pt>
                <c:pt idx="13">
                  <c:v>278.5</c:v>
                </c:pt>
                <c:pt idx="14">
                  <c:v>278</c:v>
                </c:pt>
                <c:pt idx="15">
                  <c:v>277.5</c:v>
                </c:pt>
                <c:pt idx="16">
                  <c:v>277</c:v>
                </c:pt>
                <c:pt idx="17">
                  <c:v>276.5</c:v>
                </c:pt>
                <c:pt idx="18">
                  <c:v>276</c:v>
                </c:pt>
                <c:pt idx="19">
                  <c:v>275.5</c:v>
                </c:pt>
                <c:pt idx="20">
                  <c:v>275</c:v>
                </c:pt>
                <c:pt idx="21">
                  <c:v>274.5</c:v>
                </c:pt>
                <c:pt idx="22">
                  <c:v>274</c:v>
                </c:pt>
                <c:pt idx="23">
                  <c:v>273.5</c:v>
                </c:pt>
                <c:pt idx="24">
                  <c:v>273</c:v>
                </c:pt>
              </c:numCache>
            </c:numRef>
          </c:xVal>
          <c:yVal>
            <c:numRef>
              <c:f>'Registro Original'!$F$302:$F$326</c:f>
              <c:numCache>
                <c:formatCode>General</c:formatCode>
                <c:ptCount val="25"/>
                <c:pt idx="6">
                  <c:v>0.20399999999999999</c:v>
                </c:pt>
                <c:pt idx="7">
                  <c:v>0.20599999999999999</c:v>
                </c:pt>
                <c:pt idx="8">
                  <c:v>0.23100000000000001</c:v>
                </c:pt>
                <c:pt idx="9">
                  <c:v>0.26400000000000001</c:v>
                </c:pt>
                <c:pt idx="10">
                  <c:v>0.29699999999999999</c:v>
                </c:pt>
                <c:pt idx="11">
                  <c:v>0.31900000000000001</c:v>
                </c:pt>
                <c:pt idx="12">
                  <c:v>0.31900000000000001</c:v>
                </c:pt>
                <c:pt idx="13">
                  <c:v>0.30599999999999999</c:v>
                </c:pt>
                <c:pt idx="14">
                  <c:v>0.28899999999999998</c:v>
                </c:pt>
                <c:pt idx="15">
                  <c:v>0.27900000000000003</c:v>
                </c:pt>
                <c:pt idx="16">
                  <c:v>0.28000000000000003</c:v>
                </c:pt>
                <c:pt idx="17">
                  <c:v>0.28399999999999997</c:v>
                </c:pt>
                <c:pt idx="18">
                  <c:v>0.28999999999999998</c:v>
                </c:pt>
                <c:pt idx="19">
                  <c:v>0.29499999999999998</c:v>
                </c:pt>
              </c:numCache>
            </c:numRef>
          </c:yVal>
          <c:smooth val="1"/>
          <c:extLst>
            <c:ext xmlns:c16="http://schemas.microsoft.com/office/drawing/2014/chart" uri="{C3380CC4-5D6E-409C-BE32-E72D297353CC}">
              <c16:uniqueId val="{00000003-297A-4022-BDDF-27C17AB4E93F}"/>
            </c:ext>
          </c:extLst>
        </c:ser>
        <c:dLbls>
          <c:showLegendKey val="0"/>
          <c:showVal val="0"/>
          <c:showCatName val="0"/>
          <c:showSerName val="0"/>
          <c:showPercent val="0"/>
          <c:showBubbleSize val="0"/>
        </c:dLbls>
        <c:axId val="79487744"/>
        <c:axId val="79489664"/>
      </c:scatterChart>
      <c:valAx>
        <c:axId val="79487744"/>
        <c:scaling>
          <c:orientation val="minMax"/>
          <c:max val="285.5"/>
          <c:min val="273.5"/>
        </c:scaling>
        <c:delete val="0"/>
        <c:axPos val="t"/>
        <c:title>
          <c:tx>
            <c:rich>
              <a:bodyPr/>
              <a:lstStyle/>
              <a:p>
                <a:pPr>
                  <a:defRPr sz="1000" b="1" i="0" u="none" strike="noStrike" baseline="0">
                    <a:solidFill>
                      <a:srgbClr val="000000"/>
                    </a:solidFill>
                    <a:latin typeface="Arial"/>
                    <a:ea typeface="Arial"/>
                    <a:cs typeface="Arial"/>
                  </a:defRPr>
                </a:pPr>
                <a:r>
                  <a:rPr lang="pt-BR"/>
                  <a:t>Comprimento</a:t>
                </a:r>
                <a:r>
                  <a:rPr lang="pt-BR" baseline="0"/>
                  <a:t> de Onda</a:t>
                </a:r>
                <a:r>
                  <a:rPr lang="pt-BR"/>
                  <a:t> [nm]</a:t>
                </a:r>
              </a:p>
            </c:rich>
          </c:tx>
          <c:layout>
            <c:manualLayout>
              <c:xMode val="edge"/>
              <c:yMode val="edge"/>
              <c:x val="0.43979123805746739"/>
              <c:y val="0.89920390254248539"/>
            </c:manualLayout>
          </c:layout>
          <c:overlay val="0"/>
          <c:spPr>
            <a:noFill/>
            <a:ln w="25400">
              <a:noFill/>
            </a:ln>
          </c:spPr>
        </c:title>
        <c:numFmt formatCode="0.0" sourceLinked="0"/>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pt-BR"/>
          </a:p>
        </c:txPr>
        <c:crossAx val="79489664"/>
        <c:crosses val="max"/>
        <c:crossBetween val="midCat"/>
        <c:majorUnit val="1"/>
        <c:minorUnit val="0.2"/>
      </c:valAx>
      <c:valAx>
        <c:axId val="79489664"/>
        <c:scaling>
          <c:orientation val="minMax"/>
          <c:max val="0.53"/>
          <c:min val="0.21000000000000008"/>
        </c:scaling>
        <c:delete val="0"/>
        <c:axPos val="l"/>
        <c:majorGridlines>
          <c:spPr>
            <a:ln w="3175">
              <a:solidFill>
                <a:schemeClr val="bg1">
                  <a:lumMod val="65000"/>
                </a:schemeClr>
              </a:solidFill>
              <a:prstDash val="solid"/>
            </a:ln>
          </c:spPr>
        </c:majorGridlines>
        <c:title>
          <c:tx>
            <c:rich>
              <a:bodyPr/>
              <a:lstStyle/>
              <a:p>
                <a:pPr>
                  <a:defRPr sz="1000" b="1" i="0" u="none" strike="noStrike" baseline="0">
                    <a:solidFill>
                      <a:srgbClr val="000000"/>
                    </a:solidFill>
                    <a:latin typeface="Arial"/>
                    <a:ea typeface="Arial"/>
                    <a:cs typeface="Arial"/>
                  </a:defRPr>
                </a:pPr>
                <a:r>
                  <a:rPr lang="pt-BR"/>
                  <a:t>Absorbância </a:t>
                </a:r>
              </a:p>
            </c:rich>
          </c:tx>
          <c:layout>
            <c:manualLayout>
              <c:xMode val="edge"/>
              <c:yMode val="edge"/>
              <c:x val="1.4464127978496838E-2"/>
              <c:y val="0.3447447528075383"/>
            </c:manualLayout>
          </c:layout>
          <c:overlay val="0"/>
          <c:spPr>
            <a:noFill/>
            <a:ln w="25400">
              <a:noFill/>
            </a:ln>
          </c:spPr>
        </c:title>
        <c:numFmt formatCode="0.00" sourceLinked="0"/>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pt-BR"/>
          </a:p>
        </c:txPr>
        <c:crossAx val="79487744"/>
        <c:crossesAt val="273.5"/>
        <c:crossBetween val="midCat"/>
        <c:majorUnit val="2.0000000000000011E-2"/>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pt-BR"/>
    </a:p>
  </c:txPr>
  <c:printSettings>
    <c:headerFooter alignWithMargins="0"/>
    <c:pageMargins b="0.98425196899999978" l="0.78740157499999996" r="0.78740157499999996" t="0.98425196899999978" header="0.5" footer="0.5"/>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BR" sz="1100" b="1"/>
              <a:t>Pico 1  -  241,5 nm</a:t>
            </a:r>
          </a:p>
        </c:rich>
      </c:tx>
      <c:layout>
        <c:manualLayout>
          <c:xMode val="edge"/>
          <c:yMode val="edge"/>
          <c:x val="0.54164327045688065"/>
          <c:y val="0.1408385163975715"/>
        </c:manualLayout>
      </c:layout>
      <c:overlay val="0"/>
    </c:title>
    <c:autoTitleDeleted val="0"/>
    <c:plotArea>
      <c:layout>
        <c:manualLayout>
          <c:layoutTarget val="inner"/>
          <c:xMode val="edge"/>
          <c:yMode val="edge"/>
          <c:x val="7.4030397363120337E-2"/>
          <c:y val="8.5098873026628372E-2"/>
          <c:w val="0.81675531869566498"/>
          <c:h val="0.74801061007957614"/>
        </c:manualLayout>
      </c:layout>
      <c:scatterChart>
        <c:scatterStyle val="smoothMarker"/>
        <c:varyColors val="0"/>
        <c:ser>
          <c:idx val="0"/>
          <c:order val="0"/>
          <c:tx>
            <c:v>Pico 1</c:v>
          </c:tx>
          <c:spPr>
            <a:ln w="12700">
              <a:solidFill>
                <a:srgbClr val="000080"/>
              </a:solidFill>
              <a:prstDash val="solid"/>
            </a:ln>
          </c:spPr>
          <c:marker>
            <c:symbol val="none"/>
          </c:marker>
          <c:xVal>
            <c:numRef>
              <c:f>'Registro Original'!$AA$4330:$AA$4450</c:f>
              <c:numCache>
                <c:formatCode>0.0</c:formatCode>
                <c:ptCount val="121"/>
                <c:pt idx="0">
                  <c:v>247.5</c:v>
                </c:pt>
                <c:pt idx="1">
                  <c:v>247.4</c:v>
                </c:pt>
                <c:pt idx="2">
                  <c:v>247.3</c:v>
                </c:pt>
                <c:pt idx="3">
                  <c:v>247.2</c:v>
                </c:pt>
                <c:pt idx="4">
                  <c:v>247.1</c:v>
                </c:pt>
                <c:pt idx="5">
                  <c:v>247</c:v>
                </c:pt>
                <c:pt idx="6">
                  <c:v>246.9</c:v>
                </c:pt>
                <c:pt idx="7">
                  <c:v>246.8</c:v>
                </c:pt>
                <c:pt idx="8">
                  <c:v>246.7</c:v>
                </c:pt>
                <c:pt idx="9">
                  <c:v>246.6</c:v>
                </c:pt>
                <c:pt idx="10">
                  <c:v>246.5</c:v>
                </c:pt>
                <c:pt idx="11">
                  <c:v>246.4</c:v>
                </c:pt>
                <c:pt idx="12">
                  <c:v>246.3</c:v>
                </c:pt>
                <c:pt idx="13">
                  <c:v>246.2</c:v>
                </c:pt>
                <c:pt idx="14">
                  <c:v>246.1</c:v>
                </c:pt>
                <c:pt idx="15">
                  <c:v>246</c:v>
                </c:pt>
                <c:pt idx="16">
                  <c:v>245.9</c:v>
                </c:pt>
                <c:pt idx="17">
                  <c:v>245.8</c:v>
                </c:pt>
                <c:pt idx="18">
                  <c:v>245.7</c:v>
                </c:pt>
                <c:pt idx="19">
                  <c:v>245.6</c:v>
                </c:pt>
                <c:pt idx="20">
                  <c:v>245.5</c:v>
                </c:pt>
                <c:pt idx="21">
                  <c:v>245.4</c:v>
                </c:pt>
                <c:pt idx="22">
                  <c:v>245.3</c:v>
                </c:pt>
                <c:pt idx="23">
                  <c:v>245.2</c:v>
                </c:pt>
                <c:pt idx="24">
                  <c:v>245.1</c:v>
                </c:pt>
                <c:pt idx="25">
                  <c:v>245</c:v>
                </c:pt>
                <c:pt idx="26">
                  <c:v>244.9</c:v>
                </c:pt>
                <c:pt idx="27">
                  <c:v>244.8</c:v>
                </c:pt>
                <c:pt idx="28">
                  <c:v>244.7</c:v>
                </c:pt>
                <c:pt idx="29">
                  <c:v>244.6</c:v>
                </c:pt>
                <c:pt idx="30">
                  <c:v>244.5</c:v>
                </c:pt>
                <c:pt idx="31">
                  <c:v>244.4</c:v>
                </c:pt>
                <c:pt idx="32">
                  <c:v>244.3</c:v>
                </c:pt>
                <c:pt idx="33">
                  <c:v>244.2</c:v>
                </c:pt>
                <c:pt idx="34">
                  <c:v>244.1</c:v>
                </c:pt>
                <c:pt idx="35">
                  <c:v>244</c:v>
                </c:pt>
                <c:pt idx="36">
                  <c:v>243.9</c:v>
                </c:pt>
                <c:pt idx="37">
                  <c:v>243.8</c:v>
                </c:pt>
                <c:pt idx="38">
                  <c:v>243.7</c:v>
                </c:pt>
                <c:pt idx="39">
                  <c:v>243.6</c:v>
                </c:pt>
                <c:pt idx="40">
                  <c:v>243.5</c:v>
                </c:pt>
                <c:pt idx="41">
                  <c:v>243.4</c:v>
                </c:pt>
                <c:pt idx="42">
                  <c:v>243.3</c:v>
                </c:pt>
                <c:pt idx="43">
                  <c:v>243.2</c:v>
                </c:pt>
                <c:pt idx="44">
                  <c:v>243.1</c:v>
                </c:pt>
                <c:pt idx="45">
                  <c:v>243</c:v>
                </c:pt>
                <c:pt idx="46">
                  <c:v>242.9</c:v>
                </c:pt>
                <c:pt idx="47">
                  <c:v>242.8</c:v>
                </c:pt>
                <c:pt idx="48">
                  <c:v>242.7</c:v>
                </c:pt>
                <c:pt idx="49">
                  <c:v>242.6</c:v>
                </c:pt>
                <c:pt idx="50">
                  <c:v>242.5</c:v>
                </c:pt>
                <c:pt idx="51">
                  <c:v>242.4</c:v>
                </c:pt>
                <c:pt idx="52">
                  <c:v>242.3</c:v>
                </c:pt>
                <c:pt idx="53">
                  <c:v>242.2</c:v>
                </c:pt>
                <c:pt idx="54">
                  <c:v>242.1</c:v>
                </c:pt>
                <c:pt idx="55">
                  <c:v>242</c:v>
                </c:pt>
                <c:pt idx="56">
                  <c:v>241.9</c:v>
                </c:pt>
                <c:pt idx="57">
                  <c:v>241.8</c:v>
                </c:pt>
                <c:pt idx="58">
                  <c:v>241.7</c:v>
                </c:pt>
                <c:pt idx="59">
                  <c:v>241.6</c:v>
                </c:pt>
                <c:pt idx="60">
                  <c:v>241.5</c:v>
                </c:pt>
                <c:pt idx="61">
                  <c:v>241.4</c:v>
                </c:pt>
                <c:pt idx="62">
                  <c:v>241.3</c:v>
                </c:pt>
                <c:pt idx="63">
                  <c:v>241.2</c:v>
                </c:pt>
                <c:pt idx="64">
                  <c:v>241.1</c:v>
                </c:pt>
                <c:pt idx="65">
                  <c:v>241</c:v>
                </c:pt>
                <c:pt idx="66">
                  <c:v>240.9</c:v>
                </c:pt>
                <c:pt idx="67">
                  <c:v>240.8</c:v>
                </c:pt>
                <c:pt idx="68">
                  <c:v>240.7</c:v>
                </c:pt>
                <c:pt idx="69">
                  <c:v>240.6</c:v>
                </c:pt>
                <c:pt idx="70">
                  <c:v>240.5</c:v>
                </c:pt>
                <c:pt idx="71">
                  <c:v>240.4</c:v>
                </c:pt>
                <c:pt idx="72">
                  <c:v>240.3</c:v>
                </c:pt>
                <c:pt idx="73">
                  <c:v>240.2</c:v>
                </c:pt>
                <c:pt idx="74">
                  <c:v>240.1</c:v>
                </c:pt>
                <c:pt idx="75">
                  <c:v>240</c:v>
                </c:pt>
                <c:pt idx="76">
                  <c:v>239.9</c:v>
                </c:pt>
                <c:pt idx="77">
                  <c:v>239.8</c:v>
                </c:pt>
                <c:pt idx="78">
                  <c:v>239.7</c:v>
                </c:pt>
                <c:pt idx="79">
                  <c:v>239.6</c:v>
                </c:pt>
                <c:pt idx="80">
                  <c:v>239.5</c:v>
                </c:pt>
                <c:pt idx="81">
                  <c:v>239.4</c:v>
                </c:pt>
                <c:pt idx="82">
                  <c:v>239.3</c:v>
                </c:pt>
                <c:pt idx="83">
                  <c:v>239.2</c:v>
                </c:pt>
                <c:pt idx="84">
                  <c:v>239.1</c:v>
                </c:pt>
                <c:pt idx="85">
                  <c:v>239</c:v>
                </c:pt>
                <c:pt idx="86">
                  <c:v>238.9</c:v>
                </c:pt>
                <c:pt idx="87">
                  <c:v>238.8</c:v>
                </c:pt>
                <c:pt idx="88">
                  <c:v>238.7</c:v>
                </c:pt>
                <c:pt idx="89">
                  <c:v>238.6</c:v>
                </c:pt>
                <c:pt idx="90">
                  <c:v>238.5</c:v>
                </c:pt>
                <c:pt idx="91">
                  <c:v>238.4</c:v>
                </c:pt>
                <c:pt idx="92">
                  <c:v>238.3</c:v>
                </c:pt>
                <c:pt idx="93">
                  <c:v>238.2</c:v>
                </c:pt>
                <c:pt idx="94">
                  <c:v>238.1</c:v>
                </c:pt>
                <c:pt idx="95">
                  <c:v>238</c:v>
                </c:pt>
                <c:pt idx="96">
                  <c:v>237.9</c:v>
                </c:pt>
                <c:pt idx="97">
                  <c:v>237.8</c:v>
                </c:pt>
                <c:pt idx="98">
                  <c:v>237.7</c:v>
                </c:pt>
                <c:pt idx="99">
                  <c:v>237.6</c:v>
                </c:pt>
                <c:pt idx="100">
                  <c:v>237.5</c:v>
                </c:pt>
                <c:pt idx="101">
                  <c:v>237.4</c:v>
                </c:pt>
                <c:pt idx="102">
                  <c:v>237.3</c:v>
                </c:pt>
                <c:pt idx="103">
                  <c:v>237.2</c:v>
                </c:pt>
                <c:pt idx="104">
                  <c:v>237.1</c:v>
                </c:pt>
                <c:pt idx="105">
                  <c:v>237</c:v>
                </c:pt>
                <c:pt idx="106">
                  <c:v>236.9</c:v>
                </c:pt>
                <c:pt idx="107">
                  <c:v>236.8</c:v>
                </c:pt>
                <c:pt idx="108">
                  <c:v>236.7</c:v>
                </c:pt>
                <c:pt idx="109">
                  <c:v>236.6</c:v>
                </c:pt>
                <c:pt idx="110">
                  <c:v>236.5</c:v>
                </c:pt>
                <c:pt idx="111">
                  <c:v>236.4</c:v>
                </c:pt>
                <c:pt idx="112">
                  <c:v>236.3</c:v>
                </c:pt>
                <c:pt idx="113">
                  <c:v>236.2</c:v>
                </c:pt>
                <c:pt idx="114">
                  <c:v>236.1</c:v>
                </c:pt>
                <c:pt idx="115">
                  <c:v>236</c:v>
                </c:pt>
                <c:pt idx="116">
                  <c:v>235.9</c:v>
                </c:pt>
                <c:pt idx="117">
                  <c:v>235.8</c:v>
                </c:pt>
                <c:pt idx="118">
                  <c:v>235.7</c:v>
                </c:pt>
                <c:pt idx="119">
                  <c:v>235.6</c:v>
                </c:pt>
                <c:pt idx="120">
                  <c:v>235.5</c:v>
                </c:pt>
              </c:numCache>
            </c:numRef>
          </c:xVal>
          <c:yVal>
            <c:numRef>
              <c:f>'Registro Original'!$AC$4330:$AC$4450</c:f>
              <c:numCache>
                <c:formatCode>0.0000</c:formatCode>
                <c:ptCount val="121"/>
                <c:pt idx="0">
                  <c:v>0.60539074089645462</c:v>
                </c:pt>
                <c:pt idx="1">
                  <c:v>0.60677588363870272</c:v>
                </c:pt>
                <c:pt idx="2">
                  <c:v>0.60857085508055586</c:v>
                </c:pt>
                <c:pt idx="3">
                  <c:v>0.61032015678075069</c:v>
                </c:pt>
                <c:pt idx="4">
                  <c:v>0.61143702860192506</c:v>
                </c:pt>
                <c:pt idx="5">
                  <c:v>0.61234327137985778</c:v>
                </c:pt>
                <c:pt idx="6">
                  <c:v>0.6140542872698167</c:v>
                </c:pt>
                <c:pt idx="7">
                  <c:v>0.61548530131434753</c:v>
                </c:pt>
                <c:pt idx="8">
                  <c:v>0.61749667578884926</c:v>
                </c:pt>
                <c:pt idx="9">
                  <c:v>0.61883074872085442</c:v>
                </c:pt>
                <c:pt idx="10">
                  <c:v>0.62064008551236971</c:v>
                </c:pt>
                <c:pt idx="11">
                  <c:v>0.62191112136121329</c:v>
                </c:pt>
                <c:pt idx="12">
                  <c:v>0.62313117836133169</c:v>
                </c:pt>
                <c:pt idx="13">
                  <c:v>0.62510508143301946</c:v>
                </c:pt>
                <c:pt idx="14">
                  <c:v>0.62637089935033163</c:v>
                </c:pt>
                <c:pt idx="15">
                  <c:v>0.62850729142409989</c:v>
                </c:pt>
                <c:pt idx="16">
                  <c:v>0.63054293487362989</c:v>
                </c:pt>
                <c:pt idx="17">
                  <c:v>0.63188054138497096</c:v>
                </c:pt>
                <c:pt idx="18">
                  <c:v>0.63359572250829987</c:v>
                </c:pt>
                <c:pt idx="19">
                  <c:v>0.63544900464602805</c:v>
                </c:pt>
                <c:pt idx="20">
                  <c:v>0.63721603653008585</c:v>
                </c:pt>
                <c:pt idx="21">
                  <c:v>0.6393876550914076</c:v>
                </c:pt>
                <c:pt idx="22">
                  <c:v>0.64229378921535762</c:v>
                </c:pt>
                <c:pt idx="23">
                  <c:v>0.64418464488422922</c:v>
                </c:pt>
                <c:pt idx="24">
                  <c:v>0.64698828896654725</c:v>
                </c:pt>
                <c:pt idx="25">
                  <c:v>0.64884169343597253</c:v>
                </c:pt>
                <c:pt idx="26">
                  <c:v>0.65255288735202877</c:v>
                </c:pt>
                <c:pt idx="27">
                  <c:v>0.65584360636879324</c:v>
                </c:pt>
                <c:pt idx="28">
                  <c:v>0.65961538162985667</c:v>
                </c:pt>
                <c:pt idx="29">
                  <c:v>0.6643816506223944</c:v>
                </c:pt>
                <c:pt idx="30">
                  <c:v>0.66976891228072033</c:v>
                </c:pt>
                <c:pt idx="31">
                  <c:v>0.67505939798509829</c:v>
                </c:pt>
                <c:pt idx="32">
                  <c:v>0.68051917194966272</c:v>
                </c:pt>
                <c:pt idx="33">
                  <c:v>0.68663904875587201</c:v>
                </c:pt>
                <c:pt idx="34">
                  <c:v>0.69428328890863522</c:v>
                </c:pt>
                <c:pt idx="35">
                  <c:v>0.70213010860009817</c:v>
                </c:pt>
                <c:pt idx="36">
                  <c:v>0.70996538863748193</c:v>
                </c:pt>
                <c:pt idx="37">
                  <c:v>0.71719668570827155</c:v>
                </c:pt>
                <c:pt idx="38">
                  <c:v>0.7248960504308033</c:v>
                </c:pt>
                <c:pt idx="39">
                  <c:v>0.73196055006575933</c:v>
                </c:pt>
                <c:pt idx="40">
                  <c:v>0.73959466776017568</c:v>
                </c:pt>
                <c:pt idx="41">
                  <c:v>0.74690441415096842</c:v>
                </c:pt>
                <c:pt idx="42">
                  <c:v>0.75419132321251192</c:v>
                </c:pt>
                <c:pt idx="43">
                  <c:v>0.76130168993701375</c:v>
                </c:pt>
                <c:pt idx="44">
                  <c:v>0.7690914806792355</c:v>
                </c:pt>
                <c:pt idx="45">
                  <c:v>0.77624454634275886</c:v>
                </c:pt>
                <c:pt idx="46">
                  <c:v>0.784309573746797</c:v>
                </c:pt>
                <c:pt idx="47">
                  <c:v>0.79555441856693243</c:v>
                </c:pt>
                <c:pt idx="48">
                  <c:v>0.80958425296670966</c:v>
                </c:pt>
                <c:pt idx="49">
                  <c:v>0.82579477305985283</c:v>
                </c:pt>
                <c:pt idx="50">
                  <c:v>0.84323890169337579</c:v>
                </c:pt>
                <c:pt idx="51">
                  <c:v>0.86464469059122506</c:v>
                </c:pt>
                <c:pt idx="52">
                  <c:v>0.88632398810289992</c:v>
                </c:pt>
                <c:pt idx="53">
                  <c:v>0.91126163472600152</c:v>
                </c:pt>
                <c:pt idx="54">
                  <c:v>0.93794475262464627</c:v>
                </c:pt>
                <c:pt idx="55">
                  <c:v>0.96437017220956112</c:v>
                </c:pt>
                <c:pt idx="56">
                  <c:v>0.98902198782525785</c:v>
                </c:pt>
                <c:pt idx="57">
                  <c:v>1.0073934687832355</c:v>
                </c:pt>
                <c:pt idx="58">
                  <c:v>1.0192423844385978</c:v>
                </c:pt>
                <c:pt idx="59">
                  <c:v>1.0216779380035981</c:v>
                </c:pt>
                <c:pt idx="60">
                  <c:v>1.0156167252900565</c:v>
                </c:pt>
                <c:pt idx="61">
                  <c:v>1.0010914494924306</c:v>
                </c:pt>
                <c:pt idx="62">
                  <c:v>0.98142431653274864</c:v>
                </c:pt>
                <c:pt idx="63">
                  <c:v>0.95754262542567914</c:v>
                </c:pt>
                <c:pt idx="64">
                  <c:v>0.93114650632850193</c:v>
                </c:pt>
                <c:pt idx="65">
                  <c:v>0.90605327610941688</c:v>
                </c:pt>
                <c:pt idx="66">
                  <c:v>0.8809421624767626</c:v>
                </c:pt>
                <c:pt idx="67">
                  <c:v>0.85952338316986643</c:v>
                </c:pt>
                <c:pt idx="68">
                  <c:v>0.83851220891254774</c:v>
                </c:pt>
                <c:pt idx="69">
                  <c:v>0.82073553566097468</c:v>
                </c:pt>
                <c:pt idx="70">
                  <c:v>0.80570771844802747</c:v>
                </c:pt>
                <c:pt idx="71">
                  <c:v>0.79498520743099621</c:v>
                </c:pt>
                <c:pt idx="72">
                  <c:v>0.78645568146233324</c:v>
                </c:pt>
                <c:pt idx="73">
                  <c:v>0.78086099814019927</c:v>
                </c:pt>
                <c:pt idx="74">
                  <c:v>0.77642618894531246</c:v>
                </c:pt>
                <c:pt idx="75">
                  <c:v>0.77394168957288711</c:v>
                </c:pt>
                <c:pt idx="76">
                  <c:v>0.77242177970039994</c:v>
                </c:pt>
                <c:pt idx="77">
                  <c:v>0.77065097983229658</c:v>
                </c:pt>
                <c:pt idx="78">
                  <c:v>0.77031815768232426</c:v>
                </c:pt>
                <c:pt idx="79">
                  <c:v>0.77006231409206616</c:v>
                </c:pt>
                <c:pt idx="80">
                  <c:v>0.77139434964490827</c:v>
                </c:pt>
                <c:pt idx="81">
                  <c:v>0.77242177970039994</c:v>
                </c:pt>
                <c:pt idx="82">
                  <c:v>0.77365791283636931</c:v>
                </c:pt>
                <c:pt idx="83">
                  <c:v>0.77479413403409791</c:v>
                </c:pt>
                <c:pt idx="84">
                  <c:v>0.77642618894531246</c:v>
                </c:pt>
                <c:pt idx="85">
                  <c:v>0.77814256458086328</c:v>
                </c:pt>
                <c:pt idx="86">
                  <c:v>0.77976112006559595</c:v>
                </c:pt>
                <c:pt idx="87">
                  <c:v>0.78172714642855246</c:v>
                </c:pt>
                <c:pt idx="88">
                  <c:v>0.78314821671562007</c:v>
                </c:pt>
                <c:pt idx="89">
                  <c:v>0.78523560333196152</c:v>
                </c:pt>
                <c:pt idx="90">
                  <c:v>0.7859778512995671</c:v>
                </c:pt>
                <c:pt idx="91">
                  <c:v>0.78738630335494297</c:v>
                </c:pt>
                <c:pt idx="92">
                  <c:v>0.78861244706314126</c:v>
                </c:pt>
                <c:pt idx="93">
                  <c:v>0.78962796597471041</c:v>
                </c:pt>
                <c:pt idx="94">
                  <c:v>0.79053860537001241</c:v>
                </c:pt>
                <c:pt idx="95">
                  <c:v>0.79147802706856685</c:v>
                </c:pt>
                <c:pt idx="96">
                  <c:v>0.79233870880321833</c:v>
                </c:pt>
                <c:pt idx="97">
                  <c:v>0.79301230524359168</c:v>
                </c:pt>
                <c:pt idx="98">
                  <c:v>0.79355193563347681</c:v>
                </c:pt>
                <c:pt idx="99">
                  <c:v>0.79452496325910915</c:v>
                </c:pt>
                <c:pt idx="100">
                  <c:v>0.79582573392648026</c:v>
                </c:pt>
                <c:pt idx="101">
                  <c:v>0.79645040324925886</c:v>
                </c:pt>
                <c:pt idx="102">
                  <c:v>0.79854825087828119</c:v>
                </c:pt>
                <c:pt idx="103">
                  <c:v>0.7995872988027537</c:v>
                </c:pt>
                <c:pt idx="104">
                  <c:v>0.80131542692285662</c:v>
                </c:pt>
                <c:pt idx="105">
                  <c:v>0.80266429686993823</c:v>
                </c:pt>
                <c:pt idx="106">
                  <c:v>0.80457085754293745</c:v>
                </c:pt>
                <c:pt idx="107">
                  <c:v>0.80723746459431456</c:v>
                </c:pt>
                <c:pt idx="108">
                  <c:v>0.80947221311264672</c:v>
                </c:pt>
                <c:pt idx="109">
                  <c:v>0.81160592873857196</c:v>
                </c:pt>
                <c:pt idx="110">
                  <c:v>0.81377846372917095</c:v>
                </c:pt>
                <c:pt idx="111">
                  <c:v>0.81627474195442173</c:v>
                </c:pt>
                <c:pt idx="112">
                  <c:v>0.81869961973317962</c:v>
                </c:pt>
                <c:pt idx="113">
                  <c:v>0.8214546854889927</c:v>
                </c:pt>
                <c:pt idx="114">
                  <c:v>0.82431427173791783</c:v>
                </c:pt>
                <c:pt idx="115">
                  <c:v>0.82614386101373039</c:v>
                </c:pt>
                <c:pt idx="116">
                  <c:v>0.82853683491615637</c:v>
                </c:pt>
                <c:pt idx="117">
                  <c:v>0.83138467778898262</c:v>
                </c:pt>
                <c:pt idx="118">
                  <c:v>0.83380678482993253</c:v>
                </c:pt>
                <c:pt idx="119">
                  <c:v>0.83668951103631384</c:v>
                </c:pt>
                <c:pt idx="120">
                  <c:v>0.83890164354907493</c:v>
                </c:pt>
              </c:numCache>
            </c:numRef>
          </c:yVal>
          <c:smooth val="1"/>
          <c:extLst>
            <c:ext xmlns:c16="http://schemas.microsoft.com/office/drawing/2014/chart" uri="{C3380CC4-5D6E-409C-BE32-E72D297353CC}">
              <c16:uniqueId val="{00000000-D4CA-4F6D-A1FB-C0D6A7025E3E}"/>
            </c:ext>
          </c:extLst>
        </c:ser>
        <c:ser>
          <c:idx val="1"/>
          <c:order val="1"/>
          <c:tx>
            <c:v>Pico 1 - CAL1</c:v>
          </c:tx>
          <c:spPr>
            <a:ln>
              <a:solidFill>
                <a:srgbClr val="FF0000"/>
              </a:solidFill>
            </a:ln>
          </c:spPr>
          <c:marker>
            <c:symbol val="none"/>
          </c:marker>
          <c:xVal>
            <c:numRef>
              <c:f>'Registro Original'!$B$327:$B$351</c:f>
              <c:numCache>
                <c:formatCode>0.0</c:formatCode>
                <c:ptCount val="25"/>
                <c:pt idx="0">
                  <c:v>253</c:v>
                </c:pt>
                <c:pt idx="1">
                  <c:v>252</c:v>
                </c:pt>
                <c:pt idx="2">
                  <c:v>251</c:v>
                </c:pt>
                <c:pt idx="3">
                  <c:v>250</c:v>
                </c:pt>
                <c:pt idx="4">
                  <c:v>249</c:v>
                </c:pt>
                <c:pt idx="5">
                  <c:v>248</c:v>
                </c:pt>
                <c:pt idx="6">
                  <c:v>247</c:v>
                </c:pt>
                <c:pt idx="7">
                  <c:v>246</c:v>
                </c:pt>
                <c:pt idx="8">
                  <c:v>245</c:v>
                </c:pt>
                <c:pt idx="9">
                  <c:v>244</c:v>
                </c:pt>
                <c:pt idx="10">
                  <c:v>243</c:v>
                </c:pt>
                <c:pt idx="11">
                  <c:v>242</c:v>
                </c:pt>
                <c:pt idx="12">
                  <c:v>241</c:v>
                </c:pt>
                <c:pt idx="13">
                  <c:v>240</c:v>
                </c:pt>
                <c:pt idx="14">
                  <c:v>239</c:v>
                </c:pt>
                <c:pt idx="15">
                  <c:v>238</c:v>
                </c:pt>
                <c:pt idx="16">
                  <c:v>237</c:v>
                </c:pt>
                <c:pt idx="17">
                  <c:v>236</c:v>
                </c:pt>
                <c:pt idx="18">
                  <c:v>235</c:v>
                </c:pt>
                <c:pt idx="19">
                  <c:v>234</c:v>
                </c:pt>
                <c:pt idx="20">
                  <c:v>233</c:v>
                </c:pt>
                <c:pt idx="21">
                  <c:v>232</c:v>
                </c:pt>
                <c:pt idx="22">
                  <c:v>231</c:v>
                </c:pt>
                <c:pt idx="23">
                  <c:v>230</c:v>
                </c:pt>
                <c:pt idx="24">
                  <c:v>229</c:v>
                </c:pt>
              </c:numCache>
            </c:numRef>
          </c:xVal>
          <c:yVal>
            <c:numRef>
              <c:f>'Registro Original'!$C$327:$C$351</c:f>
              <c:numCache>
                <c:formatCode>0.000</c:formatCode>
                <c:ptCount val="25"/>
                <c:pt idx="6">
                  <c:v>0.56100000000000005</c:v>
                </c:pt>
                <c:pt idx="7">
                  <c:v>0.58199999999999996</c:v>
                </c:pt>
                <c:pt idx="8">
                  <c:v>0.61499999999999999</c:v>
                </c:pt>
                <c:pt idx="9">
                  <c:v>0.65600000000000003</c:v>
                </c:pt>
                <c:pt idx="10">
                  <c:v>0.69899999999999995</c:v>
                </c:pt>
                <c:pt idx="11">
                  <c:v>0.71799999999999997</c:v>
                </c:pt>
                <c:pt idx="12">
                  <c:v>0.72299999999999998</c:v>
                </c:pt>
                <c:pt idx="13">
                  <c:v>0.70399999999999996</c:v>
                </c:pt>
                <c:pt idx="14">
                  <c:v>0.68200000000000005</c:v>
                </c:pt>
                <c:pt idx="15">
                  <c:v>0.67400000000000004</c:v>
                </c:pt>
                <c:pt idx="16">
                  <c:v>0.68200000000000005</c:v>
                </c:pt>
                <c:pt idx="17">
                  <c:v>0.69199999999999995</c:v>
                </c:pt>
                <c:pt idx="18">
                  <c:v>0.70299999999999996</c:v>
                </c:pt>
              </c:numCache>
            </c:numRef>
          </c:yVal>
          <c:smooth val="1"/>
          <c:extLst>
            <c:ext xmlns:c16="http://schemas.microsoft.com/office/drawing/2014/chart" uri="{C3380CC4-5D6E-409C-BE32-E72D297353CC}">
              <c16:uniqueId val="{00000001-D4CA-4F6D-A1FB-C0D6A7025E3E}"/>
            </c:ext>
          </c:extLst>
        </c:ser>
        <c:ser>
          <c:idx val="2"/>
          <c:order val="2"/>
          <c:tx>
            <c:v>Pico 1 - Largura de banda</c:v>
          </c:tx>
          <c:spPr>
            <a:ln w="15875">
              <a:solidFill>
                <a:srgbClr val="FFC000"/>
              </a:solidFill>
            </a:ln>
          </c:spPr>
          <c:marker>
            <c:symbol val="none"/>
          </c:marker>
          <c:xVal>
            <c:numRef>
              <c:f>'Registro Original'!$AE$330:$CM$330</c:f>
              <c:numCache>
                <c:formatCode>0.0</c:formatCode>
                <c:ptCount val="61"/>
                <c:pt idx="0">
                  <c:v>235.5</c:v>
                </c:pt>
                <c:pt idx="1">
                  <c:v>235.7</c:v>
                </c:pt>
                <c:pt idx="2">
                  <c:v>235.89999999999998</c:v>
                </c:pt>
                <c:pt idx="3">
                  <c:v>236.09999999999997</c:v>
                </c:pt>
                <c:pt idx="4">
                  <c:v>236.29999999999995</c:v>
                </c:pt>
                <c:pt idx="5">
                  <c:v>236.49999999999994</c:v>
                </c:pt>
                <c:pt idx="6">
                  <c:v>236.69999999999993</c:v>
                </c:pt>
                <c:pt idx="7">
                  <c:v>236.89999999999992</c:v>
                </c:pt>
                <c:pt idx="8">
                  <c:v>237.09999999999991</c:v>
                </c:pt>
                <c:pt idx="9">
                  <c:v>237.2999999999999</c:v>
                </c:pt>
                <c:pt idx="10">
                  <c:v>237.49999999999989</c:v>
                </c:pt>
                <c:pt idx="11">
                  <c:v>237.69999999999987</c:v>
                </c:pt>
                <c:pt idx="12">
                  <c:v>237.89999999999986</c:v>
                </c:pt>
                <c:pt idx="13">
                  <c:v>238.09999999999985</c:v>
                </c:pt>
                <c:pt idx="14">
                  <c:v>238.29999999999984</c:v>
                </c:pt>
                <c:pt idx="15">
                  <c:v>238.49999999999983</c:v>
                </c:pt>
                <c:pt idx="16">
                  <c:v>238.69999999999982</c:v>
                </c:pt>
                <c:pt idx="17">
                  <c:v>238.89999999999981</c:v>
                </c:pt>
                <c:pt idx="18">
                  <c:v>239.0999999999998</c:v>
                </c:pt>
                <c:pt idx="19">
                  <c:v>239.29999999999978</c:v>
                </c:pt>
                <c:pt idx="20">
                  <c:v>239.49999999999977</c:v>
                </c:pt>
                <c:pt idx="21">
                  <c:v>239.69999999999976</c:v>
                </c:pt>
                <c:pt idx="22">
                  <c:v>239.89999999999975</c:v>
                </c:pt>
                <c:pt idx="23">
                  <c:v>240.09999999999974</c:v>
                </c:pt>
                <c:pt idx="24">
                  <c:v>240.29999999999973</c:v>
                </c:pt>
                <c:pt idx="25">
                  <c:v>240.49999999999972</c:v>
                </c:pt>
                <c:pt idx="26">
                  <c:v>240.6999999999997</c:v>
                </c:pt>
                <c:pt idx="27">
                  <c:v>240.89999999999969</c:v>
                </c:pt>
                <c:pt idx="28">
                  <c:v>241.09999999999968</c:v>
                </c:pt>
                <c:pt idx="29">
                  <c:v>241.29999999999967</c:v>
                </c:pt>
                <c:pt idx="30">
                  <c:v>241.49999999999966</c:v>
                </c:pt>
                <c:pt idx="31">
                  <c:v>241.69999999999965</c:v>
                </c:pt>
                <c:pt idx="32">
                  <c:v>241.89999999999964</c:v>
                </c:pt>
                <c:pt idx="33">
                  <c:v>242.09999999999962</c:v>
                </c:pt>
                <c:pt idx="34">
                  <c:v>242.29999999999961</c:v>
                </c:pt>
                <c:pt idx="35">
                  <c:v>242.4999999999996</c:v>
                </c:pt>
                <c:pt idx="36">
                  <c:v>242.69999999999959</c:v>
                </c:pt>
                <c:pt idx="37">
                  <c:v>242.89999999999958</c:v>
                </c:pt>
                <c:pt idx="38">
                  <c:v>243.09999999999957</c:v>
                </c:pt>
                <c:pt idx="39">
                  <c:v>243.29999999999956</c:v>
                </c:pt>
                <c:pt idx="40">
                  <c:v>243.49999999999955</c:v>
                </c:pt>
                <c:pt idx="41">
                  <c:v>243.69999999999953</c:v>
                </c:pt>
                <c:pt idx="42">
                  <c:v>243.89999999999952</c:v>
                </c:pt>
                <c:pt idx="43">
                  <c:v>244.09999999999951</c:v>
                </c:pt>
                <c:pt idx="44">
                  <c:v>244.2999999999995</c:v>
                </c:pt>
                <c:pt idx="45">
                  <c:v>244.49999999999949</c:v>
                </c:pt>
                <c:pt idx="46">
                  <c:v>244.69999999999948</c:v>
                </c:pt>
                <c:pt idx="47">
                  <c:v>244.89999999999947</c:v>
                </c:pt>
                <c:pt idx="48">
                  <c:v>245.09999999999945</c:v>
                </c:pt>
                <c:pt idx="49">
                  <c:v>245.29999999999944</c:v>
                </c:pt>
                <c:pt idx="50">
                  <c:v>245.49999999999943</c:v>
                </c:pt>
                <c:pt idx="51">
                  <c:v>245.69999999999942</c:v>
                </c:pt>
                <c:pt idx="52">
                  <c:v>245.89999999999941</c:v>
                </c:pt>
                <c:pt idx="53">
                  <c:v>246.0999999999994</c:v>
                </c:pt>
                <c:pt idx="54">
                  <c:v>246.29999999999939</c:v>
                </c:pt>
                <c:pt idx="55">
                  <c:v>246.49999999999937</c:v>
                </c:pt>
                <c:pt idx="56">
                  <c:v>246.69999999999936</c:v>
                </c:pt>
                <c:pt idx="57">
                  <c:v>246.89999999999935</c:v>
                </c:pt>
                <c:pt idx="58">
                  <c:v>247.09999999999934</c:v>
                </c:pt>
                <c:pt idx="59">
                  <c:v>247.29999999999933</c:v>
                </c:pt>
                <c:pt idx="60">
                  <c:v>247.49999999999932</c:v>
                </c:pt>
              </c:numCache>
            </c:numRef>
          </c:xVal>
          <c:yVal>
            <c:numRef>
              <c:f>'Registro Original'!$AE$331:$CM$331</c:f>
              <c:numCache>
                <c:formatCode>0.0000</c:formatCode>
                <c:ptCount val="61"/>
                <c:pt idx="0">
                  <c:v>0.89295000000000002</c:v>
                </c:pt>
                <c:pt idx="1">
                  <c:v>0.89295000000000002</c:v>
                </c:pt>
                <c:pt idx="2">
                  <c:v>0.89295000000000002</c:v>
                </c:pt>
                <c:pt idx="3">
                  <c:v>0.89295000000000002</c:v>
                </c:pt>
                <c:pt idx="4">
                  <c:v>0.89295000000000002</c:v>
                </c:pt>
                <c:pt idx="5">
                  <c:v>0.89295000000000002</c:v>
                </c:pt>
                <c:pt idx="6">
                  <c:v>0.89295000000000002</c:v>
                </c:pt>
                <c:pt idx="7">
                  <c:v>0.89295000000000002</c:v>
                </c:pt>
                <c:pt idx="8">
                  <c:v>0.89295000000000002</c:v>
                </c:pt>
                <c:pt idx="9">
                  <c:v>0.89295000000000002</c:v>
                </c:pt>
                <c:pt idx="10">
                  <c:v>0.89295000000000002</c:v>
                </c:pt>
                <c:pt idx="11">
                  <c:v>0.89295000000000002</c:v>
                </c:pt>
                <c:pt idx="12">
                  <c:v>0.89295000000000002</c:v>
                </c:pt>
                <c:pt idx="13">
                  <c:v>0.89295000000000002</c:v>
                </c:pt>
                <c:pt idx="14">
                  <c:v>0.89295000000000002</c:v>
                </c:pt>
                <c:pt idx="15">
                  <c:v>0.89295000000000002</c:v>
                </c:pt>
                <c:pt idx="16">
                  <c:v>0.89295000000000002</c:v>
                </c:pt>
                <c:pt idx="17">
                  <c:v>0.89295000000000002</c:v>
                </c:pt>
                <c:pt idx="18">
                  <c:v>0.89295000000000002</c:v>
                </c:pt>
                <c:pt idx="19">
                  <c:v>0.89295000000000002</c:v>
                </c:pt>
                <c:pt idx="20">
                  <c:v>0.89295000000000002</c:v>
                </c:pt>
                <c:pt idx="21">
                  <c:v>0.89295000000000002</c:v>
                </c:pt>
                <c:pt idx="22">
                  <c:v>0.89295000000000002</c:v>
                </c:pt>
                <c:pt idx="23">
                  <c:v>0.89295000000000002</c:v>
                </c:pt>
                <c:pt idx="24">
                  <c:v>0.89295000000000002</c:v>
                </c:pt>
                <c:pt idx="25">
                  <c:v>0.89295000000000002</c:v>
                </c:pt>
                <c:pt idx="26">
                  <c:v>0.89295000000000002</c:v>
                </c:pt>
                <c:pt idx="27">
                  <c:v>0.89295000000000002</c:v>
                </c:pt>
                <c:pt idx="28">
                  <c:v>0.89295000000000002</c:v>
                </c:pt>
                <c:pt idx="29">
                  <c:v>0.89295000000000002</c:v>
                </c:pt>
                <c:pt idx="30">
                  <c:v>0.89295000000000002</c:v>
                </c:pt>
                <c:pt idx="31">
                  <c:v>0.89295000000000002</c:v>
                </c:pt>
                <c:pt idx="32">
                  <c:v>0.89295000000000002</c:v>
                </c:pt>
                <c:pt idx="33">
                  <c:v>0.89295000000000002</c:v>
                </c:pt>
                <c:pt idx="34">
                  <c:v>0.89295000000000002</c:v>
                </c:pt>
                <c:pt idx="35">
                  <c:v>0.89295000000000002</c:v>
                </c:pt>
                <c:pt idx="36">
                  <c:v>0.89295000000000002</c:v>
                </c:pt>
                <c:pt idx="37">
                  <c:v>0.89295000000000002</c:v>
                </c:pt>
                <c:pt idx="38">
                  <c:v>0.89295000000000002</c:v>
                </c:pt>
                <c:pt idx="39">
                  <c:v>0.89295000000000002</c:v>
                </c:pt>
                <c:pt idx="40">
                  <c:v>0.89295000000000002</c:v>
                </c:pt>
                <c:pt idx="41">
                  <c:v>0.89295000000000002</c:v>
                </c:pt>
                <c:pt idx="42">
                  <c:v>0.89295000000000002</c:v>
                </c:pt>
                <c:pt idx="43">
                  <c:v>0.89295000000000002</c:v>
                </c:pt>
                <c:pt idx="44">
                  <c:v>0.89295000000000002</c:v>
                </c:pt>
                <c:pt idx="45">
                  <c:v>0.89295000000000002</c:v>
                </c:pt>
                <c:pt idx="46">
                  <c:v>0.89295000000000002</c:v>
                </c:pt>
                <c:pt idx="47">
                  <c:v>0.89295000000000002</c:v>
                </c:pt>
                <c:pt idx="48">
                  <c:v>0.89295000000000002</c:v>
                </c:pt>
                <c:pt idx="49">
                  <c:v>0.89295000000000002</c:v>
                </c:pt>
                <c:pt idx="50">
                  <c:v>0.89295000000000002</c:v>
                </c:pt>
                <c:pt idx="51">
                  <c:v>0.89295000000000002</c:v>
                </c:pt>
                <c:pt idx="52">
                  <c:v>0.89295000000000002</c:v>
                </c:pt>
                <c:pt idx="53">
                  <c:v>0.89295000000000002</c:v>
                </c:pt>
                <c:pt idx="54">
                  <c:v>0.89295000000000002</c:v>
                </c:pt>
                <c:pt idx="55">
                  <c:v>0.89295000000000002</c:v>
                </c:pt>
                <c:pt idx="56">
                  <c:v>0.89295000000000002</c:v>
                </c:pt>
                <c:pt idx="57">
                  <c:v>0.89295000000000002</c:v>
                </c:pt>
                <c:pt idx="58">
                  <c:v>0.89295000000000002</c:v>
                </c:pt>
                <c:pt idx="59">
                  <c:v>0.89295000000000002</c:v>
                </c:pt>
                <c:pt idx="60">
                  <c:v>0.89295000000000002</c:v>
                </c:pt>
              </c:numCache>
            </c:numRef>
          </c:yVal>
          <c:smooth val="1"/>
          <c:extLst>
            <c:ext xmlns:c16="http://schemas.microsoft.com/office/drawing/2014/chart" uri="{C3380CC4-5D6E-409C-BE32-E72D297353CC}">
              <c16:uniqueId val="{00000002-D4CA-4F6D-A1FB-C0D6A7025E3E}"/>
            </c:ext>
          </c:extLst>
        </c:ser>
        <c:ser>
          <c:idx val="3"/>
          <c:order val="3"/>
          <c:tx>
            <c:v>Pico 1 - CAL 2</c:v>
          </c:tx>
          <c:spPr>
            <a:ln>
              <a:solidFill>
                <a:srgbClr val="00B050"/>
              </a:solidFill>
            </a:ln>
          </c:spPr>
          <c:marker>
            <c:symbol val="none"/>
          </c:marker>
          <c:xVal>
            <c:numRef>
              <c:f>'Registro Original'!$E$327:$E$351</c:f>
              <c:numCache>
                <c:formatCode>0.0</c:formatCode>
                <c:ptCount val="25"/>
                <c:pt idx="0">
                  <c:v>247</c:v>
                </c:pt>
                <c:pt idx="1">
                  <c:v>246.5</c:v>
                </c:pt>
                <c:pt idx="2">
                  <c:v>246</c:v>
                </c:pt>
                <c:pt idx="3">
                  <c:v>245.5</c:v>
                </c:pt>
                <c:pt idx="4">
                  <c:v>245</c:v>
                </c:pt>
                <c:pt idx="5">
                  <c:v>244.5</c:v>
                </c:pt>
                <c:pt idx="6">
                  <c:v>244</c:v>
                </c:pt>
                <c:pt idx="7">
                  <c:v>243.5</c:v>
                </c:pt>
                <c:pt idx="8">
                  <c:v>243</c:v>
                </c:pt>
                <c:pt idx="9">
                  <c:v>242.5</c:v>
                </c:pt>
                <c:pt idx="10">
                  <c:v>242</c:v>
                </c:pt>
                <c:pt idx="11">
                  <c:v>241.5</c:v>
                </c:pt>
                <c:pt idx="12">
                  <c:v>241</c:v>
                </c:pt>
                <c:pt idx="13">
                  <c:v>240.5</c:v>
                </c:pt>
                <c:pt idx="14">
                  <c:v>240</c:v>
                </c:pt>
                <c:pt idx="15">
                  <c:v>239.5</c:v>
                </c:pt>
                <c:pt idx="16">
                  <c:v>239</c:v>
                </c:pt>
                <c:pt idx="17">
                  <c:v>238.5</c:v>
                </c:pt>
                <c:pt idx="18">
                  <c:v>238</c:v>
                </c:pt>
                <c:pt idx="19">
                  <c:v>237.5</c:v>
                </c:pt>
                <c:pt idx="20">
                  <c:v>237</c:v>
                </c:pt>
                <c:pt idx="21">
                  <c:v>236.5</c:v>
                </c:pt>
                <c:pt idx="22">
                  <c:v>236</c:v>
                </c:pt>
                <c:pt idx="23">
                  <c:v>235.5</c:v>
                </c:pt>
                <c:pt idx="24">
                  <c:v>235</c:v>
                </c:pt>
              </c:numCache>
            </c:numRef>
          </c:xVal>
          <c:yVal>
            <c:numRef>
              <c:f>'Registro Original'!$F$327:$F$351</c:f>
              <c:numCache>
                <c:formatCode>General</c:formatCode>
                <c:ptCount val="25"/>
                <c:pt idx="6">
                  <c:v>0.56599999999999995</c:v>
                </c:pt>
                <c:pt idx="7">
                  <c:v>0.59</c:v>
                </c:pt>
                <c:pt idx="8">
                  <c:v>0.627</c:v>
                </c:pt>
                <c:pt idx="9">
                  <c:v>0.66800000000000004</c:v>
                </c:pt>
                <c:pt idx="10">
                  <c:v>0.70599999999999996</c:v>
                </c:pt>
                <c:pt idx="11">
                  <c:v>0.72</c:v>
                </c:pt>
                <c:pt idx="12">
                  <c:v>0.72</c:v>
                </c:pt>
                <c:pt idx="13">
                  <c:v>0.69599999999999995</c:v>
                </c:pt>
                <c:pt idx="14">
                  <c:v>0.67700000000000005</c:v>
                </c:pt>
                <c:pt idx="15">
                  <c:v>0.67400000000000004</c:v>
                </c:pt>
                <c:pt idx="16">
                  <c:v>0.68400000000000005</c:v>
                </c:pt>
                <c:pt idx="17">
                  <c:v>0.69399999999999995</c:v>
                </c:pt>
                <c:pt idx="18">
                  <c:v>0.70599999999999996</c:v>
                </c:pt>
              </c:numCache>
            </c:numRef>
          </c:yVal>
          <c:smooth val="1"/>
          <c:extLst>
            <c:ext xmlns:c16="http://schemas.microsoft.com/office/drawing/2014/chart" uri="{C3380CC4-5D6E-409C-BE32-E72D297353CC}">
              <c16:uniqueId val="{00000003-D4CA-4F6D-A1FB-C0D6A7025E3E}"/>
            </c:ext>
          </c:extLst>
        </c:ser>
        <c:dLbls>
          <c:showLegendKey val="0"/>
          <c:showVal val="0"/>
          <c:showCatName val="0"/>
          <c:showSerName val="0"/>
          <c:showPercent val="0"/>
          <c:showBubbleSize val="0"/>
        </c:dLbls>
        <c:axId val="79564160"/>
        <c:axId val="79574528"/>
      </c:scatterChart>
      <c:valAx>
        <c:axId val="79564160"/>
        <c:scaling>
          <c:orientation val="minMax"/>
          <c:max val="247.5"/>
          <c:min val="235.5"/>
        </c:scaling>
        <c:delete val="0"/>
        <c:axPos val="t"/>
        <c:title>
          <c:tx>
            <c:rich>
              <a:bodyPr/>
              <a:lstStyle/>
              <a:p>
                <a:pPr>
                  <a:defRPr sz="1000" b="1" i="0" u="none" strike="noStrike" baseline="0">
                    <a:solidFill>
                      <a:srgbClr val="000000"/>
                    </a:solidFill>
                    <a:latin typeface="Arial"/>
                    <a:ea typeface="Arial"/>
                    <a:cs typeface="Arial"/>
                  </a:defRPr>
                </a:pPr>
                <a:r>
                  <a:rPr lang="pt-BR"/>
                  <a:t>Comprimento</a:t>
                </a:r>
                <a:r>
                  <a:rPr lang="pt-BR" baseline="0"/>
                  <a:t> de Onda</a:t>
                </a:r>
                <a:r>
                  <a:rPr lang="pt-BR"/>
                  <a:t> [nm]</a:t>
                </a:r>
              </a:p>
            </c:rich>
          </c:tx>
          <c:layout>
            <c:manualLayout>
              <c:xMode val="edge"/>
              <c:yMode val="edge"/>
              <c:x val="0.43979123805746739"/>
              <c:y val="0.89920390254248539"/>
            </c:manualLayout>
          </c:layout>
          <c:overlay val="0"/>
          <c:spPr>
            <a:noFill/>
            <a:ln w="25400">
              <a:noFill/>
            </a:ln>
          </c:spPr>
        </c:title>
        <c:numFmt formatCode="0.0" sourceLinked="0"/>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pt-BR"/>
          </a:p>
        </c:txPr>
        <c:crossAx val="79574528"/>
        <c:crosses val="max"/>
        <c:crossBetween val="midCat"/>
        <c:majorUnit val="1"/>
        <c:minorUnit val="0.2"/>
      </c:valAx>
      <c:valAx>
        <c:axId val="79574528"/>
        <c:scaling>
          <c:orientation val="minMax"/>
          <c:max val="1.04"/>
          <c:min val="0.60000000000000031"/>
        </c:scaling>
        <c:delete val="0"/>
        <c:axPos val="l"/>
        <c:majorGridlines>
          <c:spPr>
            <a:ln w="3175">
              <a:solidFill>
                <a:schemeClr val="bg1">
                  <a:lumMod val="65000"/>
                </a:schemeClr>
              </a:solidFill>
              <a:prstDash val="solid"/>
            </a:ln>
          </c:spPr>
        </c:majorGridlines>
        <c:title>
          <c:tx>
            <c:rich>
              <a:bodyPr/>
              <a:lstStyle/>
              <a:p>
                <a:pPr>
                  <a:defRPr sz="1000" b="1" i="0" u="none" strike="noStrike" baseline="0">
                    <a:solidFill>
                      <a:srgbClr val="000000"/>
                    </a:solidFill>
                    <a:latin typeface="Arial"/>
                    <a:ea typeface="Arial"/>
                    <a:cs typeface="Arial"/>
                  </a:defRPr>
                </a:pPr>
                <a:r>
                  <a:rPr lang="pt-BR"/>
                  <a:t>Absorbância </a:t>
                </a:r>
              </a:p>
            </c:rich>
          </c:tx>
          <c:layout>
            <c:manualLayout>
              <c:xMode val="edge"/>
              <c:yMode val="edge"/>
              <c:x val="1.4464127978496838E-2"/>
              <c:y val="0.3447447528075383"/>
            </c:manualLayout>
          </c:layout>
          <c:overlay val="0"/>
          <c:spPr>
            <a:noFill/>
            <a:ln w="25400">
              <a:noFill/>
            </a:ln>
          </c:spPr>
        </c:title>
        <c:numFmt formatCode="0.00" sourceLinked="0"/>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pt-BR"/>
          </a:p>
        </c:txPr>
        <c:crossAx val="79564160"/>
        <c:crossesAt val="235.5"/>
        <c:crossBetween val="midCat"/>
        <c:majorUnit val="2.0000000000000011E-2"/>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pt-BR"/>
    </a:p>
  </c:txPr>
  <c:printSettings>
    <c:headerFooter alignWithMargins="0"/>
    <c:pageMargins b="0.98425196899999978" l="0.78740157499999996" r="0.78740157499999996" t="0.98425196899999978" header="0.5" footer="0.5"/>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BR" sz="1100" b="1"/>
              <a:t>Pico 11  -  637,5 nm</a:t>
            </a:r>
          </a:p>
        </c:rich>
      </c:tx>
      <c:layout>
        <c:manualLayout>
          <c:xMode val="edge"/>
          <c:yMode val="edge"/>
          <c:x val="0.60697964225060153"/>
          <c:y val="0.12458834645669296"/>
        </c:manualLayout>
      </c:layout>
      <c:overlay val="0"/>
    </c:title>
    <c:autoTitleDeleted val="0"/>
    <c:plotArea>
      <c:layout>
        <c:manualLayout>
          <c:layoutTarget val="inner"/>
          <c:xMode val="edge"/>
          <c:yMode val="edge"/>
          <c:x val="8.2443999575714105E-2"/>
          <c:y val="5.1081151537210386E-2"/>
          <c:w val="0.81675531869566498"/>
          <c:h val="0.74801061007957614"/>
        </c:manualLayout>
      </c:layout>
      <c:scatterChart>
        <c:scatterStyle val="smoothMarker"/>
        <c:varyColors val="0"/>
        <c:ser>
          <c:idx val="0"/>
          <c:order val="0"/>
          <c:tx>
            <c:v>Pico 11</c:v>
          </c:tx>
          <c:spPr>
            <a:ln w="12700">
              <a:solidFill>
                <a:srgbClr val="000080"/>
              </a:solidFill>
              <a:prstDash val="solid"/>
            </a:ln>
          </c:spPr>
          <c:marker>
            <c:symbol val="none"/>
          </c:marker>
          <c:xVal>
            <c:numRef>
              <c:f>'Registro Tratado'!$AD$370:$AD$490</c:f>
              <c:numCache>
                <c:formatCode>0.0</c:formatCode>
                <c:ptCount val="121"/>
                <c:pt idx="0">
                  <c:v>643.5</c:v>
                </c:pt>
                <c:pt idx="1">
                  <c:v>643.4</c:v>
                </c:pt>
                <c:pt idx="2">
                  <c:v>643.29999999999995</c:v>
                </c:pt>
                <c:pt idx="3">
                  <c:v>643.20000000000005</c:v>
                </c:pt>
                <c:pt idx="4">
                  <c:v>643.1</c:v>
                </c:pt>
                <c:pt idx="5">
                  <c:v>643</c:v>
                </c:pt>
                <c:pt idx="6">
                  <c:v>642.9</c:v>
                </c:pt>
                <c:pt idx="7">
                  <c:v>642.79999999999995</c:v>
                </c:pt>
                <c:pt idx="8">
                  <c:v>642.70000000000005</c:v>
                </c:pt>
                <c:pt idx="9">
                  <c:v>642.6</c:v>
                </c:pt>
                <c:pt idx="10">
                  <c:v>642.5</c:v>
                </c:pt>
                <c:pt idx="11">
                  <c:v>642.4</c:v>
                </c:pt>
                <c:pt idx="12">
                  <c:v>642.29999999999995</c:v>
                </c:pt>
                <c:pt idx="13">
                  <c:v>642.20000000000005</c:v>
                </c:pt>
                <c:pt idx="14">
                  <c:v>642.1</c:v>
                </c:pt>
                <c:pt idx="15">
                  <c:v>642</c:v>
                </c:pt>
                <c:pt idx="16">
                  <c:v>641.9</c:v>
                </c:pt>
                <c:pt idx="17">
                  <c:v>641.79999999999995</c:v>
                </c:pt>
                <c:pt idx="18">
                  <c:v>641.70000000000005</c:v>
                </c:pt>
                <c:pt idx="19">
                  <c:v>641.6</c:v>
                </c:pt>
                <c:pt idx="20">
                  <c:v>641.5</c:v>
                </c:pt>
                <c:pt idx="21">
                  <c:v>641.4</c:v>
                </c:pt>
                <c:pt idx="22">
                  <c:v>641.29999999999995</c:v>
                </c:pt>
                <c:pt idx="23">
                  <c:v>641.20000000000005</c:v>
                </c:pt>
                <c:pt idx="24">
                  <c:v>641.1</c:v>
                </c:pt>
                <c:pt idx="25">
                  <c:v>641</c:v>
                </c:pt>
                <c:pt idx="26">
                  <c:v>640.9</c:v>
                </c:pt>
                <c:pt idx="27">
                  <c:v>640.79999999999995</c:v>
                </c:pt>
                <c:pt idx="28">
                  <c:v>640.70000000000005</c:v>
                </c:pt>
                <c:pt idx="29">
                  <c:v>640.6</c:v>
                </c:pt>
                <c:pt idx="30">
                  <c:v>640.5</c:v>
                </c:pt>
                <c:pt idx="31">
                  <c:v>640.4</c:v>
                </c:pt>
                <c:pt idx="32">
                  <c:v>640.29999999999995</c:v>
                </c:pt>
                <c:pt idx="33">
                  <c:v>640.20000000000005</c:v>
                </c:pt>
                <c:pt idx="34">
                  <c:v>640.1</c:v>
                </c:pt>
                <c:pt idx="35">
                  <c:v>640</c:v>
                </c:pt>
                <c:pt idx="36">
                  <c:v>639.9</c:v>
                </c:pt>
                <c:pt idx="37">
                  <c:v>639.79999999999995</c:v>
                </c:pt>
                <c:pt idx="38">
                  <c:v>639.70000000000005</c:v>
                </c:pt>
                <c:pt idx="39">
                  <c:v>639.6</c:v>
                </c:pt>
                <c:pt idx="40">
                  <c:v>639.5</c:v>
                </c:pt>
                <c:pt idx="41">
                  <c:v>639.4</c:v>
                </c:pt>
                <c:pt idx="42">
                  <c:v>639.29999999999995</c:v>
                </c:pt>
                <c:pt idx="43">
                  <c:v>639.20000000000005</c:v>
                </c:pt>
                <c:pt idx="44">
                  <c:v>639.1</c:v>
                </c:pt>
                <c:pt idx="45">
                  <c:v>639</c:v>
                </c:pt>
                <c:pt idx="46">
                  <c:v>638.9</c:v>
                </c:pt>
                <c:pt idx="47">
                  <c:v>638.79999999999995</c:v>
                </c:pt>
                <c:pt idx="48">
                  <c:v>638.70000000000005</c:v>
                </c:pt>
                <c:pt idx="49">
                  <c:v>638.6</c:v>
                </c:pt>
                <c:pt idx="50">
                  <c:v>638.5</c:v>
                </c:pt>
                <c:pt idx="51">
                  <c:v>638.4</c:v>
                </c:pt>
                <c:pt idx="52">
                  <c:v>638.29999999999995</c:v>
                </c:pt>
                <c:pt idx="53">
                  <c:v>638.20000000000005</c:v>
                </c:pt>
                <c:pt idx="54">
                  <c:v>638.1</c:v>
                </c:pt>
                <c:pt idx="55">
                  <c:v>638</c:v>
                </c:pt>
                <c:pt idx="56">
                  <c:v>637.9</c:v>
                </c:pt>
                <c:pt idx="57">
                  <c:v>637.79999999999995</c:v>
                </c:pt>
                <c:pt idx="58">
                  <c:v>637.70000000000005</c:v>
                </c:pt>
                <c:pt idx="59">
                  <c:v>637.6</c:v>
                </c:pt>
                <c:pt idx="60">
                  <c:v>637.5</c:v>
                </c:pt>
                <c:pt idx="61">
                  <c:v>637.4</c:v>
                </c:pt>
                <c:pt idx="62">
                  <c:v>637.29999999999995</c:v>
                </c:pt>
                <c:pt idx="63">
                  <c:v>637.20000000000005</c:v>
                </c:pt>
                <c:pt idx="64">
                  <c:v>637.1</c:v>
                </c:pt>
                <c:pt idx="65">
                  <c:v>637</c:v>
                </c:pt>
                <c:pt idx="66">
                  <c:v>636.9</c:v>
                </c:pt>
                <c:pt idx="67">
                  <c:v>636.79999999999995</c:v>
                </c:pt>
                <c:pt idx="68">
                  <c:v>636.70000000000005</c:v>
                </c:pt>
                <c:pt idx="69">
                  <c:v>636.6</c:v>
                </c:pt>
                <c:pt idx="70">
                  <c:v>636.5</c:v>
                </c:pt>
                <c:pt idx="71">
                  <c:v>636.4</c:v>
                </c:pt>
                <c:pt idx="72">
                  <c:v>636.29999999999995</c:v>
                </c:pt>
                <c:pt idx="73">
                  <c:v>636.20000000000005</c:v>
                </c:pt>
                <c:pt idx="74">
                  <c:v>636.1</c:v>
                </c:pt>
                <c:pt idx="75">
                  <c:v>636</c:v>
                </c:pt>
                <c:pt idx="76">
                  <c:v>635.9</c:v>
                </c:pt>
                <c:pt idx="77">
                  <c:v>635.79999999999995</c:v>
                </c:pt>
                <c:pt idx="78">
                  <c:v>635.70000000000005</c:v>
                </c:pt>
                <c:pt idx="79">
                  <c:v>635.6</c:v>
                </c:pt>
                <c:pt idx="80">
                  <c:v>635.5</c:v>
                </c:pt>
                <c:pt idx="81">
                  <c:v>635.4</c:v>
                </c:pt>
                <c:pt idx="82">
                  <c:v>635.29999999999995</c:v>
                </c:pt>
                <c:pt idx="83">
                  <c:v>635.20000000000005</c:v>
                </c:pt>
                <c:pt idx="84">
                  <c:v>635.1</c:v>
                </c:pt>
                <c:pt idx="85">
                  <c:v>635</c:v>
                </c:pt>
                <c:pt idx="86">
                  <c:v>634.9</c:v>
                </c:pt>
                <c:pt idx="87">
                  <c:v>634.79999999999995</c:v>
                </c:pt>
                <c:pt idx="88">
                  <c:v>634.70000000000005</c:v>
                </c:pt>
                <c:pt idx="89">
                  <c:v>634.6</c:v>
                </c:pt>
                <c:pt idx="90">
                  <c:v>634.5</c:v>
                </c:pt>
                <c:pt idx="91">
                  <c:v>634.4</c:v>
                </c:pt>
                <c:pt idx="92">
                  <c:v>634.29999999999995</c:v>
                </c:pt>
                <c:pt idx="93">
                  <c:v>634.20000000000005</c:v>
                </c:pt>
                <c:pt idx="94">
                  <c:v>634.1</c:v>
                </c:pt>
                <c:pt idx="95">
                  <c:v>634</c:v>
                </c:pt>
                <c:pt idx="96">
                  <c:v>633.9</c:v>
                </c:pt>
                <c:pt idx="97">
                  <c:v>633.79999999999995</c:v>
                </c:pt>
                <c:pt idx="98">
                  <c:v>633.70000000000005</c:v>
                </c:pt>
                <c:pt idx="99">
                  <c:v>633.6</c:v>
                </c:pt>
                <c:pt idx="100">
                  <c:v>633.5</c:v>
                </c:pt>
                <c:pt idx="101">
                  <c:v>633.4</c:v>
                </c:pt>
                <c:pt idx="102">
                  <c:v>633.29999999999995</c:v>
                </c:pt>
                <c:pt idx="103">
                  <c:v>633.20000000000005</c:v>
                </c:pt>
                <c:pt idx="104">
                  <c:v>633.1</c:v>
                </c:pt>
                <c:pt idx="105">
                  <c:v>633</c:v>
                </c:pt>
                <c:pt idx="106">
                  <c:v>632.9</c:v>
                </c:pt>
                <c:pt idx="107">
                  <c:v>632.79999999999995</c:v>
                </c:pt>
                <c:pt idx="108">
                  <c:v>632.70000000000005</c:v>
                </c:pt>
                <c:pt idx="109">
                  <c:v>632.6</c:v>
                </c:pt>
                <c:pt idx="110">
                  <c:v>632.5</c:v>
                </c:pt>
                <c:pt idx="111">
                  <c:v>632.4</c:v>
                </c:pt>
                <c:pt idx="112">
                  <c:v>632.29999999999995</c:v>
                </c:pt>
                <c:pt idx="113">
                  <c:v>632.20000000000005</c:v>
                </c:pt>
                <c:pt idx="114">
                  <c:v>632.1</c:v>
                </c:pt>
                <c:pt idx="115">
                  <c:v>632</c:v>
                </c:pt>
                <c:pt idx="116">
                  <c:v>631.9</c:v>
                </c:pt>
                <c:pt idx="117">
                  <c:v>631.79999999999995</c:v>
                </c:pt>
                <c:pt idx="118">
                  <c:v>631.70000000000005</c:v>
                </c:pt>
                <c:pt idx="119">
                  <c:v>631.6</c:v>
                </c:pt>
                <c:pt idx="120">
                  <c:v>631.5</c:v>
                </c:pt>
              </c:numCache>
            </c:numRef>
          </c:xVal>
          <c:yVal>
            <c:numRef>
              <c:f>'Registro Tratado'!$AF$370:$AF$490</c:f>
              <c:numCache>
                <c:formatCode>0.0000</c:formatCode>
                <c:ptCount val="121"/>
                <c:pt idx="0">
                  <c:v>0.13968595516488946</c:v>
                </c:pt>
                <c:pt idx="1">
                  <c:v>0.13988368994714359</c:v>
                </c:pt>
                <c:pt idx="2">
                  <c:v>0.14023744029538016</c:v>
                </c:pt>
                <c:pt idx="3">
                  <c:v>0.14027343105369722</c:v>
                </c:pt>
                <c:pt idx="4">
                  <c:v>0.14050144181222385</c:v>
                </c:pt>
                <c:pt idx="5">
                  <c:v>0.14113209462988477</c:v>
                </c:pt>
                <c:pt idx="6">
                  <c:v>0.14190815246399413</c:v>
                </c:pt>
                <c:pt idx="7">
                  <c:v>0.14242026737571817</c:v>
                </c:pt>
                <c:pt idx="8">
                  <c:v>0.14313220592064427</c:v>
                </c:pt>
                <c:pt idx="9">
                  <c:v>0.14389370214579827</c:v>
                </c:pt>
                <c:pt idx="10">
                  <c:v>0.14449295871264961</c:v>
                </c:pt>
                <c:pt idx="11">
                  <c:v>0.14500813249959557</c:v>
                </c:pt>
                <c:pt idx="12">
                  <c:v>0.14574255330716113</c:v>
                </c:pt>
                <c:pt idx="13">
                  <c:v>0.14677648691023767</c:v>
                </c:pt>
                <c:pt idx="14">
                  <c:v>0.147654219214538</c:v>
                </c:pt>
                <c:pt idx="15">
                  <c:v>0.14869883562569941</c:v>
                </c:pt>
                <c:pt idx="16">
                  <c:v>0.1499299392525501</c:v>
                </c:pt>
                <c:pt idx="17">
                  <c:v>0.150998496188783</c:v>
                </c:pt>
                <c:pt idx="18">
                  <c:v>0.15244584811934794</c:v>
                </c:pt>
                <c:pt idx="19">
                  <c:v>0.15373713258905286</c:v>
                </c:pt>
                <c:pt idx="20">
                  <c:v>0.15511295426542754</c:v>
                </c:pt>
                <c:pt idx="21">
                  <c:v>0.15650560246463974</c:v>
                </c:pt>
                <c:pt idx="22">
                  <c:v>0.15809643794740699</c:v>
                </c:pt>
                <c:pt idx="23">
                  <c:v>0.15973076196237923</c:v>
                </c:pt>
                <c:pt idx="24">
                  <c:v>0.16111943978829862</c:v>
                </c:pt>
                <c:pt idx="25">
                  <c:v>0.16271466366017209</c:v>
                </c:pt>
                <c:pt idx="26">
                  <c:v>0.1645123580045921</c:v>
                </c:pt>
                <c:pt idx="27">
                  <c:v>0.16643856095310405</c:v>
                </c:pt>
                <c:pt idx="28">
                  <c:v>0.16856537774319436</c:v>
                </c:pt>
                <c:pt idx="29">
                  <c:v>0.17030393087030368</c:v>
                </c:pt>
                <c:pt idx="30">
                  <c:v>0.17201720253794614</c:v>
                </c:pt>
                <c:pt idx="31">
                  <c:v>0.17348464433647015</c:v>
                </c:pt>
                <c:pt idx="32">
                  <c:v>0.17556824925514547</c:v>
                </c:pt>
                <c:pt idx="33">
                  <c:v>0.17729592400284661</c:v>
                </c:pt>
                <c:pt idx="34">
                  <c:v>0.17933230209208106</c:v>
                </c:pt>
                <c:pt idx="35">
                  <c:v>0.18131892981457462</c:v>
                </c:pt>
                <c:pt idx="36">
                  <c:v>0.18316236909796488</c:v>
                </c:pt>
                <c:pt idx="37">
                  <c:v>0.18501366655072585</c:v>
                </c:pt>
                <c:pt idx="38">
                  <c:v>0.18663254200308321</c:v>
                </c:pt>
                <c:pt idx="39">
                  <c:v>0.18842499412940666</c:v>
                </c:pt>
                <c:pt idx="40">
                  <c:v>0.19031237249583982</c:v>
                </c:pt>
                <c:pt idx="41">
                  <c:v>0.19229588706161624</c:v>
                </c:pt>
                <c:pt idx="42">
                  <c:v>0.1936571961140979</c:v>
                </c:pt>
                <c:pt idx="43">
                  <c:v>0.19507042095682689</c:v>
                </c:pt>
                <c:pt idx="44">
                  <c:v>0.19630395155400662</c:v>
                </c:pt>
                <c:pt idx="45">
                  <c:v>0.19736992340903975</c:v>
                </c:pt>
                <c:pt idx="46">
                  <c:v>0.198870812420296</c:v>
                </c:pt>
                <c:pt idx="47">
                  <c:v>0.19998440625078445</c:v>
                </c:pt>
                <c:pt idx="48">
                  <c:v>0.20127341144461969</c:v>
                </c:pt>
                <c:pt idx="49">
                  <c:v>0.20215101863616436</c:v>
                </c:pt>
                <c:pt idx="50">
                  <c:v>0.20294723521780261</c:v>
                </c:pt>
                <c:pt idx="51">
                  <c:v>0.20386990105093847</c:v>
                </c:pt>
                <c:pt idx="52">
                  <c:v>0.20448842061636205</c:v>
                </c:pt>
                <c:pt idx="53">
                  <c:v>0.20519140479415432</c:v>
                </c:pt>
                <c:pt idx="54">
                  <c:v>0.20583273865604843</c:v>
                </c:pt>
                <c:pt idx="55">
                  <c:v>0.20587459769274566</c:v>
                </c:pt>
                <c:pt idx="56">
                  <c:v>0.20604905378602967</c:v>
                </c:pt>
                <c:pt idx="57">
                  <c:v>0.20604905378602967</c:v>
                </c:pt>
                <c:pt idx="58">
                  <c:v>0.2061816873015897</c:v>
                </c:pt>
                <c:pt idx="59">
                  <c:v>0.20639817635049401</c:v>
                </c:pt>
                <c:pt idx="60">
                  <c:v>0.20615376108983827</c:v>
                </c:pt>
                <c:pt idx="61">
                  <c:v>0.20610489453981889</c:v>
                </c:pt>
                <c:pt idx="62">
                  <c:v>0.20576995766479522</c:v>
                </c:pt>
                <c:pt idx="63">
                  <c:v>0.20551892441574929</c:v>
                </c:pt>
                <c:pt idx="64">
                  <c:v>0.20485021094918268</c:v>
                </c:pt>
                <c:pt idx="65">
                  <c:v>0.20448146606282649</c:v>
                </c:pt>
                <c:pt idx="66">
                  <c:v>0.20382823478039663</c:v>
                </c:pt>
                <c:pt idx="67">
                  <c:v>0.20330774340476288</c:v>
                </c:pt>
                <c:pt idx="68">
                  <c:v>0.20275323930670244</c:v>
                </c:pt>
                <c:pt idx="69">
                  <c:v>0.20167398842588932</c:v>
                </c:pt>
                <c:pt idx="70">
                  <c:v>0.20072839165012735</c:v>
                </c:pt>
                <c:pt idx="71">
                  <c:v>0.19996375817202069</c:v>
                </c:pt>
                <c:pt idx="72">
                  <c:v>0.19913863897655376</c:v>
                </c:pt>
                <c:pt idx="73">
                  <c:v>0.19831508445868121</c:v>
                </c:pt>
                <c:pt idx="74">
                  <c:v>0.19723311404505706</c:v>
                </c:pt>
                <c:pt idx="75">
                  <c:v>0.19615383247822804</c:v>
                </c:pt>
                <c:pt idx="76">
                  <c:v>0.19482549502765278</c:v>
                </c:pt>
                <c:pt idx="77">
                  <c:v>0.19370468186282461</c:v>
                </c:pt>
                <c:pt idx="78">
                  <c:v>0.19227560130035032</c:v>
                </c:pt>
                <c:pt idx="79">
                  <c:v>0.19106018636573766</c:v>
                </c:pt>
                <c:pt idx="80">
                  <c:v>0.18958600365779016</c:v>
                </c:pt>
                <c:pt idx="81">
                  <c:v>0.18835127755731929</c:v>
                </c:pt>
                <c:pt idx="82">
                  <c:v>0.18655245573517887</c:v>
                </c:pt>
                <c:pt idx="83">
                  <c:v>0.18496712158174913</c:v>
                </c:pt>
                <c:pt idx="84">
                  <c:v>0.18358634251157216</c:v>
                </c:pt>
                <c:pt idx="85">
                  <c:v>0.18174110653937361</c:v>
                </c:pt>
                <c:pt idx="86">
                  <c:v>0.18007457932932386</c:v>
                </c:pt>
                <c:pt idx="87">
                  <c:v>0.17815252734047735</c:v>
                </c:pt>
                <c:pt idx="88">
                  <c:v>0.17582207991381515</c:v>
                </c:pt>
                <c:pt idx="89">
                  <c:v>0.17387982561894655</c:v>
                </c:pt>
                <c:pt idx="90">
                  <c:v>0.17168174533764033</c:v>
                </c:pt>
                <c:pt idx="91">
                  <c:v>0.16977071913218711</c:v>
                </c:pt>
                <c:pt idx="92">
                  <c:v>0.16751663477939735</c:v>
                </c:pt>
                <c:pt idx="93">
                  <c:v>0.16519159294800337</c:v>
                </c:pt>
                <c:pt idx="94">
                  <c:v>0.16291052945443271</c:v>
                </c:pt>
                <c:pt idx="95">
                  <c:v>0.16045282297170715</c:v>
                </c:pt>
                <c:pt idx="96">
                  <c:v>0.15791522545331801</c:v>
                </c:pt>
                <c:pt idx="97">
                  <c:v>0.15564088887264266</c:v>
                </c:pt>
                <c:pt idx="98">
                  <c:v>0.15326713025592745</c:v>
                </c:pt>
                <c:pt idx="99">
                  <c:v>0.15074647291631962</c:v>
                </c:pt>
                <c:pt idx="100">
                  <c:v>0.14819148577176247</c:v>
                </c:pt>
                <c:pt idx="101">
                  <c:v>0.1455178464992252</c:v>
                </c:pt>
                <c:pt idx="102">
                  <c:v>0.14277005742893253</c:v>
                </c:pt>
                <c:pt idx="103">
                  <c:v>0.13992564526529624</c:v>
                </c:pt>
                <c:pt idx="104">
                  <c:v>0.13752275459952928</c:v>
                </c:pt>
                <c:pt idx="105">
                  <c:v>0.13531689645781245</c:v>
                </c:pt>
                <c:pt idx="106">
                  <c:v>0.13260912443754705</c:v>
                </c:pt>
                <c:pt idx="107">
                  <c:v>0.12990055873779693</c:v>
                </c:pt>
                <c:pt idx="108">
                  <c:v>0.12751740033926015</c:v>
                </c:pt>
                <c:pt idx="109">
                  <c:v>0.12505456391446809</c:v>
                </c:pt>
                <c:pt idx="110">
                  <c:v>0.12242134816022696</c:v>
                </c:pt>
                <c:pt idx="111">
                  <c:v>0.12023913238324499</c:v>
                </c:pt>
                <c:pt idx="112">
                  <c:v>0.11784559536576603</c:v>
                </c:pt>
                <c:pt idx="113">
                  <c:v>0.11568052558805567</c:v>
                </c:pt>
                <c:pt idx="114">
                  <c:v>0.11323863014785981</c:v>
                </c:pt>
                <c:pt idx="115">
                  <c:v>0.11088886849147823</c:v>
                </c:pt>
                <c:pt idx="116">
                  <c:v>0.10867444498199486</c:v>
                </c:pt>
                <c:pt idx="117">
                  <c:v>0.10673216121972555</c:v>
                </c:pt>
                <c:pt idx="118">
                  <c:v>0.10487039761734152</c:v>
                </c:pt>
                <c:pt idx="119">
                  <c:v>0.10278540943574502</c:v>
                </c:pt>
                <c:pt idx="120">
                  <c:v>0.10083088057445949</c:v>
                </c:pt>
              </c:numCache>
            </c:numRef>
          </c:yVal>
          <c:smooth val="1"/>
          <c:extLst>
            <c:ext xmlns:c16="http://schemas.microsoft.com/office/drawing/2014/chart" uri="{C3380CC4-5D6E-409C-BE32-E72D297353CC}">
              <c16:uniqueId val="{00000000-A73A-47A5-A12C-6B23BEBAFAE5}"/>
            </c:ext>
          </c:extLst>
        </c:ser>
        <c:ser>
          <c:idx val="1"/>
          <c:order val="1"/>
          <c:tx>
            <c:v>Pico 11 - CAL1</c:v>
          </c:tx>
          <c:marker>
            <c:symbol val="dot"/>
            <c:size val="5"/>
          </c:marker>
          <c:dPt>
            <c:idx val="6"/>
            <c:bubble3D val="0"/>
            <c:spPr>
              <a:ln>
                <a:solidFill>
                  <a:srgbClr val="FF0000"/>
                </a:solidFill>
              </a:ln>
            </c:spPr>
            <c:extLst>
              <c:ext xmlns:c16="http://schemas.microsoft.com/office/drawing/2014/chart" uri="{C3380CC4-5D6E-409C-BE32-E72D297353CC}">
                <c16:uniqueId val="{00000003-B7E7-4EFF-9A13-041AADAA5AEA}"/>
              </c:ext>
            </c:extLst>
          </c:dPt>
          <c:trendline>
            <c:trendlineType val="poly"/>
            <c:order val="6"/>
            <c:dispRSqr val="1"/>
            <c:dispEq val="1"/>
            <c:trendlineLbl>
              <c:layout>
                <c:manualLayout>
                  <c:x val="9.2286521395744434E-2"/>
                  <c:y val="-0.28707827777573508"/>
                </c:manualLayout>
              </c:layout>
              <c:numFmt formatCode="0.000000000000000E+00" sourceLinked="0"/>
            </c:trendlineLbl>
          </c:trendline>
          <c:xVal>
            <c:numRef>
              <c:f>'Registro Tratado'!$B$60:$B$66</c:f>
              <c:numCache>
                <c:formatCode>0.0</c:formatCode>
                <c:ptCount val="7"/>
                <c:pt idx="0">
                  <c:v>641</c:v>
                </c:pt>
                <c:pt idx="1">
                  <c:v>640</c:v>
                </c:pt>
                <c:pt idx="2">
                  <c:v>639</c:v>
                </c:pt>
                <c:pt idx="3">
                  <c:v>638</c:v>
                </c:pt>
                <c:pt idx="4">
                  <c:v>637</c:v>
                </c:pt>
                <c:pt idx="5">
                  <c:v>636</c:v>
                </c:pt>
                <c:pt idx="6">
                  <c:v>635</c:v>
                </c:pt>
              </c:numCache>
            </c:numRef>
          </c:xVal>
          <c:yVal>
            <c:numRef>
              <c:f>'Registro Tratado'!$C$60:$C$66</c:f>
              <c:numCache>
                <c:formatCode>0.000</c:formatCode>
                <c:ptCount val="7"/>
                <c:pt idx="0">
                  <c:v>0.14299999999999999</c:v>
                </c:pt>
                <c:pt idx="1">
                  <c:v>0.14899999999999999</c:v>
                </c:pt>
                <c:pt idx="2">
                  <c:v>0.153</c:v>
                </c:pt>
                <c:pt idx="3">
                  <c:v>0.153</c:v>
                </c:pt>
                <c:pt idx="4">
                  <c:v>0.15</c:v>
                </c:pt>
                <c:pt idx="5">
                  <c:v>0.14199999999999999</c:v>
                </c:pt>
                <c:pt idx="6">
                  <c:v>0.13300000000000001</c:v>
                </c:pt>
              </c:numCache>
            </c:numRef>
          </c:yVal>
          <c:smooth val="1"/>
          <c:extLst>
            <c:ext xmlns:c16="http://schemas.microsoft.com/office/drawing/2014/chart" uri="{C3380CC4-5D6E-409C-BE32-E72D297353CC}">
              <c16:uniqueId val="{00000002-A73A-47A5-A12C-6B23BEBAFAE5}"/>
            </c:ext>
          </c:extLst>
        </c:ser>
        <c:ser>
          <c:idx val="3"/>
          <c:order val="2"/>
          <c:tx>
            <c:v>Pico 11 - Largura de banda</c:v>
          </c:tx>
          <c:spPr>
            <a:ln w="15875">
              <a:solidFill>
                <a:srgbClr val="FFC000"/>
              </a:solidFill>
            </a:ln>
          </c:spPr>
          <c:marker>
            <c:symbol val="none"/>
          </c:marker>
          <c:xVal>
            <c:numRef>
              <c:f>'Registro Tratado'!$AH$54:$CP$54</c:f>
              <c:numCache>
                <c:formatCode>General</c:formatCode>
                <c:ptCount val="61"/>
                <c:pt idx="0">
                  <c:v>631.5</c:v>
                </c:pt>
                <c:pt idx="1">
                  <c:v>631.70000000000005</c:v>
                </c:pt>
                <c:pt idx="2">
                  <c:v>631.90000000000009</c:v>
                </c:pt>
                <c:pt idx="3">
                  <c:v>632.10000000000014</c:v>
                </c:pt>
                <c:pt idx="4">
                  <c:v>632.30000000000018</c:v>
                </c:pt>
                <c:pt idx="5">
                  <c:v>632.50000000000023</c:v>
                </c:pt>
                <c:pt idx="6">
                  <c:v>632.70000000000027</c:v>
                </c:pt>
                <c:pt idx="7">
                  <c:v>632.90000000000032</c:v>
                </c:pt>
                <c:pt idx="8">
                  <c:v>633.10000000000036</c:v>
                </c:pt>
                <c:pt idx="9">
                  <c:v>633.30000000000041</c:v>
                </c:pt>
                <c:pt idx="10">
                  <c:v>633.50000000000045</c:v>
                </c:pt>
                <c:pt idx="11">
                  <c:v>633.7000000000005</c:v>
                </c:pt>
                <c:pt idx="12">
                  <c:v>633.90000000000055</c:v>
                </c:pt>
                <c:pt idx="13">
                  <c:v>634.10000000000059</c:v>
                </c:pt>
                <c:pt idx="14">
                  <c:v>634.30000000000064</c:v>
                </c:pt>
                <c:pt idx="15">
                  <c:v>634.50000000000068</c:v>
                </c:pt>
                <c:pt idx="16">
                  <c:v>634.70000000000073</c:v>
                </c:pt>
                <c:pt idx="17">
                  <c:v>634.90000000000077</c:v>
                </c:pt>
                <c:pt idx="18">
                  <c:v>635.10000000000082</c:v>
                </c:pt>
                <c:pt idx="19">
                  <c:v>635.30000000000086</c:v>
                </c:pt>
                <c:pt idx="20">
                  <c:v>635.50000000000091</c:v>
                </c:pt>
                <c:pt idx="21">
                  <c:v>635.70000000000095</c:v>
                </c:pt>
                <c:pt idx="22">
                  <c:v>635.900000000001</c:v>
                </c:pt>
                <c:pt idx="23">
                  <c:v>636.10000000000105</c:v>
                </c:pt>
                <c:pt idx="24">
                  <c:v>636.30000000000109</c:v>
                </c:pt>
                <c:pt idx="25">
                  <c:v>636.50000000000114</c:v>
                </c:pt>
                <c:pt idx="26">
                  <c:v>636.70000000000118</c:v>
                </c:pt>
                <c:pt idx="27">
                  <c:v>636.90000000000123</c:v>
                </c:pt>
                <c:pt idx="28">
                  <c:v>637.10000000000127</c:v>
                </c:pt>
                <c:pt idx="29">
                  <c:v>637.30000000000132</c:v>
                </c:pt>
                <c:pt idx="30">
                  <c:v>637.50000000000136</c:v>
                </c:pt>
                <c:pt idx="31">
                  <c:v>637.70000000000141</c:v>
                </c:pt>
                <c:pt idx="32">
                  <c:v>637.90000000000146</c:v>
                </c:pt>
                <c:pt idx="33">
                  <c:v>638.1000000000015</c:v>
                </c:pt>
                <c:pt idx="34">
                  <c:v>638.30000000000155</c:v>
                </c:pt>
                <c:pt idx="35">
                  <c:v>638.50000000000159</c:v>
                </c:pt>
                <c:pt idx="36">
                  <c:v>638.70000000000164</c:v>
                </c:pt>
                <c:pt idx="37">
                  <c:v>638.90000000000168</c:v>
                </c:pt>
                <c:pt idx="38">
                  <c:v>639.10000000000173</c:v>
                </c:pt>
                <c:pt idx="39">
                  <c:v>639.30000000000177</c:v>
                </c:pt>
                <c:pt idx="40">
                  <c:v>639.50000000000182</c:v>
                </c:pt>
                <c:pt idx="41">
                  <c:v>639.70000000000186</c:v>
                </c:pt>
                <c:pt idx="42">
                  <c:v>639.90000000000191</c:v>
                </c:pt>
                <c:pt idx="43">
                  <c:v>640.10000000000196</c:v>
                </c:pt>
                <c:pt idx="44">
                  <c:v>640.300000000002</c:v>
                </c:pt>
                <c:pt idx="45">
                  <c:v>640.50000000000205</c:v>
                </c:pt>
                <c:pt idx="46">
                  <c:v>640.70000000000209</c:v>
                </c:pt>
                <c:pt idx="47">
                  <c:v>640.90000000000214</c:v>
                </c:pt>
                <c:pt idx="48">
                  <c:v>641.10000000000218</c:v>
                </c:pt>
                <c:pt idx="49">
                  <c:v>641.30000000000223</c:v>
                </c:pt>
                <c:pt idx="50">
                  <c:v>641.50000000000227</c:v>
                </c:pt>
                <c:pt idx="51">
                  <c:v>641.70000000000232</c:v>
                </c:pt>
                <c:pt idx="52">
                  <c:v>641.90000000000236</c:v>
                </c:pt>
                <c:pt idx="53">
                  <c:v>642.10000000000241</c:v>
                </c:pt>
                <c:pt idx="54">
                  <c:v>642.30000000000246</c:v>
                </c:pt>
                <c:pt idx="55">
                  <c:v>642.5000000000025</c:v>
                </c:pt>
                <c:pt idx="56">
                  <c:v>642.70000000000255</c:v>
                </c:pt>
                <c:pt idx="57">
                  <c:v>642.90000000000259</c:v>
                </c:pt>
                <c:pt idx="58">
                  <c:v>643.10000000000264</c:v>
                </c:pt>
                <c:pt idx="59">
                  <c:v>643.30000000000268</c:v>
                </c:pt>
                <c:pt idx="60">
                  <c:v>643.50000000000273</c:v>
                </c:pt>
              </c:numCache>
            </c:numRef>
          </c:xVal>
          <c:yVal>
            <c:numRef>
              <c:f>'Registro Tratado'!$AH$55:$CP$55</c:f>
              <c:numCache>
                <c:formatCode>General</c:formatCode>
                <c:ptCount val="61"/>
                <c:pt idx="0" formatCode="0.0000">
                  <c:v>0.17304999999999998</c:v>
                </c:pt>
                <c:pt idx="1">
                  <c:v>0.17304999999999998</c:v>
                </c:pt>
                <c:pt idx="2">
                  <c:v>0.17304999999999998</c:v>
                </c:pt>
                <c:pt idx="3">
                  <c:v>0.17304999999999998</c:v>
                </c:pt>
                <c:pt idx="4">
                  <c:v>0.17304999999999998</c:v>
                </c:pt>
                <c:pt idx="5">
                  <c:v>0.17304999999999998</c:v>
                </c:pt>
                <c:pt idx="6">
                  <c:v>0.17304999999999998</c:v>
                </c:pt>
                <c:pt idx="7">
                  <c:v>0.17304999999999998</c:v>
                </c:pt>
                <c:pt idx="8">
                  <c:v>0.17304999999999998</c:v>
                </c:pt>
                <c:pt idx="9">
                  <c:v>0.17304999999999998</c:v>
                </c:pt>
                <c:pt idx="10">
                  <c:v>0.17304999999999998</c:v>
                </c:pt>
                <c:pt idx="11">
                  <c:v>0.17304999999999998</c:v>
                </c:pt>
                <c:pt idx="12">
                  <c:v>0.17304999999999998</c:v>
                </c:pt>
                <c:pt idx="13">
                  <c:v>0.17304999999999998</c:v>
                </c:pt>
                <c:pt idx="14">
                  <c:v>0.17304999999999998</c:v>
                </c:pt>
                <c:pt idx="15">
                  <c:v>0.17304999999999998</c:v>
                </c:pt>
                <c:pt idx="16">
                  <c:v>0.17304999999999998</c:v>
                </c:pt>
                <c:pt idx="17">
                  <c:v>0.17304999999999998</c:v>
                </c:pt>
                <c:pt idx="18">
                  <c:v>0.17304999999999998</c:v>
                </c:pt>
                <c:pt idx="19">
                  <c:v>0.17304999999999998</c:v>
                </c:pt>
                <c:pt idx="20">
                  <c:v>0.17304999999999998</c:v>
                </c:pt>
                <c:pt idx="21">
                  <c:v>0.17304999999999998</c:v>
                </c:pt>
                <c:pt idx="22">
                  <c:v>0.17304999999999998</c:v>
                </c:pt>
                <c:pt idx="23">
                  <c:v>0.17304999999999998</c:v>
                </c:pt>
                <c:pt idx="24">
                  <c:v>0.17304999999999998</c:v>
                </c:pt>
                <c:pt idx="25">
                  <c:v>0.17304999999999998</c:v>
                </c:pt>
                <c:pt idx="26">
                  <c:v>0.17304999999999998</c:v>
                </c:pt>
                <c:pt idx="27">
                  <c:v>0.17304999999999998</c:v>
                </c:pt>
                <c:pt idx="28">
                  <c:v>0.17304999999999998</c:v>
                </c:pt>
                <c:pt idx="29">
                  <c:v>0.17304999999999998</c:v>
                </c:pt>
                <c:pt idx="30">
                  <c:v>0.17304999999999998</c:v>
                </c:pt>
                <c:pt idx="31">
                  <c:v>0.17304999999999998</c:v>
                </c:pt>
                <c:pt idx="32">
                  <c:v>0.17304999999999998</c:v>
                </c:pt>
                <c:pt idx="33">
                  <c:v>0.17304999999999998</c:v>
                </c:pt>
                <c:pt idx="34">
                  <c:v>0.17304999999999998</c:v>
                </c:pt>
                <c:pt idx="35">
                  <c:v>0.17304999999999998</c:v>
                </c:pt>
                <c:pt idx="36">
                  <c:v>0.17304999999999998</c:v>
                </c:pt>
                <c:pt idx="37">
                  <c:v>0.17304999999999998</c:v>
                </c:pt>
                <c:pt idx="38">
                  <c:v>0.17304999999999998</c:v>
                </c:pt>
                <c:pt idx="39">
                  <c:v>0.17304999999999998</c:v>
                </c:pt>
                <c:pt idx="40">
                  <c:v>0.17304999999999998</c:v>
                </c:pt>
                <c:pt idx="41">
                  <c:v>0.17304999999999998</c:v>
                </c:pt>
                <c:pt idx="42">
                  <c:v>0.17304999999999998</c:v>
                </c:pt>
                <c:pt idx="43">
                  <c:v>0.17304999999999998</c:v>
                </c:pt>
                <c:pt idx="44">
                  <c:v>0.17304999999999998</c:v>
                </c:pt>
                <c:pt idx="45">
                  <c:v>0.17304999999999998</c:v>
                </c:pt>
                <c:pt idx="46">
                  <c:v>0.17304999999999998</c:v>
                </c:pt>
                <c:pt idx="47">
                  <c:v>0.17304999999999998</c:v>
                </c:pt>
                <c:pt idx="48">
                  <c:v>0.17304999999999998</c:v>
                </c:pt>
                <c:pt idx="49">
                  <c:v>0.17304999999999998</c:v>
                </c:pt>
                <c:pt idx="50">
                  <c:v>0.17304999999999998</c:v>
                </c:pt>
                <c:pt idx="51">
                  <c:v>0.17304999999999998</c:v>
                </c:pt>
                <c:pt idx="52">
                  <c:v>0.17304999999999998</c:v>
                </c:pt>
                <c:pt idx="53">
                  <c:v>0.17304999999999998</c:v>
                </c:pt>
                <c:pt idx="54">
                  <c:v>0.17304999999999998</c:v>
                </c:pt>
                <c:pt idx="55">
                  <c:v>0.17304999999999998</c:v>
                </c:pt>
                <c:pt idx="56">
                  <c:v>0.17304999999999998</c:v>
                </c:pt>
                <c:pt idx="57">
                  <c:v>0.17304999999999998</c:v>
                </c:pt>
                <c:pt idx="58">
                  <c:v>0.17304999999999998</c:v>
                </c:pt>
                <c:pt idx="59">
                  <c:v>0.17304999999999998</c:v>
                </c:pt>
                <c:pt idx="60">
                  <c:v>0.17304999999999998</c:v>
                </c:pt>
              </c:numCache>
            </c:numRef>
          </c:yVal>
          <c:smooth val="1"/>
          <c:extLst>
            <c:ext xmlns:c16="http://schemas.microsoft.com/office/drawing/2014/chart" uri="{C3380CC4-5D6E-409C-BE32-E72D297353CC}">
              <c16:uniqueId val="{00000003-A73A-47A5-A12C-6B23BEBAFAE5}"/>
            </c:ext>
          </c:extLst>
        </c:ser>
        <c:ser>
          <c:idx val="2"/>
          <c:order val="3"/>
          <c:tx>
            <c:v>Pico 11 - CAL2</c:v>
          </c:tx>
          <c:spPr>
            <a:ln w="31750">
              <a:solidFill>
                <a:srgbClr val="00B050"/>
              </a:solidFill>
            </a:ln>
          </c:spPr>
          <c:marker>
            <c:symbol val="none"/>
          </c:marker>
          <c:trendline>
            <c:trendlineType val="poly"/>
            <c:order val="6"/>
            <c:dispRSqr val="1"/>
            <c:dispEq val="1"/>
            <c:trendlineLbl>
              <c:layout>
                <c:manualLayout>
                  <c:x val="9.2286521395744434E-2"/>
                  <c:y val="0.19300431601295753"/>
                </c:manualLayout>
              </c:layout>
              <c:numFmt formatCode="0.000000000000000E+00" sourceLinked="0"/>
            </c:trendlineLbl>
          </c:trendline>
          <c:xVal>
            <c:numRef>
              <c:f>'Registro Tratado'!$E$60:$E$66</c:f>
              <c:numCache>
                <c:formatCode>0.0</c:formatCode>
                <c:ptCount val="7"/>
                <c:pt idx="0">
                  <c:v>639</c:v>
                </c:pt>
                <c:pt idx="1">
                  <c:v>638.5</c:v>
                </c:pt>
                <c:pt idx="2">
                  <c:v>638</c:v>
                </c:pt>
                <c:pt idx="3">
                  <c:v>637.5</c:v>
                </c:pt>
                <c:pt idx="4">
                  <c:v>637</c:v>
                </c:pt>
                <c:pt idx="5">
                  <c:v>636.5</c:v>
                </c:pt>
                <c:pt idx="6">
                  <c:v>636</c:v>
                </c:pt>
              </c:numCache>
            </c:numRef>
          </c:xVal>
          <c:yVal>
            <c:numRef>
              <c:f>'Registro Tratado'!$F$60:$F$66</c:f>
              <c:numCache>
                <c:formatCode>0.000</c:formatCode>
                <c:ptCount val="7"/>
                <c:pt idx="0">
                  <c:v>0.14299999999999999</c:v>
                </c:pt>
                <c:pt idx="1">
                  <c:v>0.14799999999999999</c:v>
                </c:pt>
                <c:pt idx="2">
                  <c:v>0.152</c:v>
                </c:pt>
                <c:pt idx="3">
                  <c:v>0.152</c:v>
                </c:pt>
                <c:pt idx="4">
                  <c:v>0.14799999999999999</c:v>
                </c:pt>
                <c:pt idx="5">
                  <c:v>0.13900000000000001</c:v>
                </c:pt>
                <c:pt idx="6">
                  <c:v>0.129</c:v>
                </c:pt>
              </c:numCache>
            </c:numRef>
          </c:yVal>
          <c:smooth val="1"/>
          <c:extLst>
            <c:ext xmlns:c16="http://schemas.microsoft.com/office/drawing/2014/chart" uri="{C3380CC4-5D6E-409C-BE32-E72D297353CC}">
              <c16:uniqueId val="{00000005-A73A-47A5-A12C-6B23BEBAFAE5}"/>
            </c:ext>
          </c:extLst>
        </c:ser>
        <c:dLbls>
          <c:showLegendKey val="0"/>
          <c:showVal val="0"/>
          <c:showCatName val="0"/>
          <c:showSerName val="0"/>
          <c:showPercent val="0"/>
          <c:showBubbleSize val="0"/>
        </c:dLbls>
        <c:axId val="70631424"/>
        <c:axId val="70633344"/>
      </c:scatterChart>
      <c:valAx>
        <c:axId val="70631424"/>
        <c:scaling>
          <c:orientation val="minMax"/>
          <c:max val="643.5"/>
          <c:min val="631.5"/>
        </c:scaling>
        <c:delete val="0"/>
        <c:axPos val="t"/>
        <c:title>
          <c:tx>
            <c:rich>
              <a:bodyPr/>
              <a:lstStyle/>
              <a:p>
                <a:pPr>
                  <a:defRPr sz="1000" b="1" i="0" u="none" strike="noStrike" baseline="0">
                    <a:solidFill>
                      <a:srgbClr val="000000"/>
                    </a:solidFill>
                    <a:latin typeface="Arial"/>
                    <a:ea typeface="Arial"/>
                    <a:cs typeface="Arial"/>
                  </a:defRPr>
                </a:pPr>
                <a:r>
                  <a:rPr lang="pt-BR"/>
                  <a:t>Comprimento</a:t>
                </a:r>
                <a:r>
                  <a:rPr lang="pt-BR" baseline="0"/>
                  <a:t> de Onda</a:t>
                </a:r>
                <a:r>
                  <a:rPr lang="pt-BR"/>
                  <a:t> [nm]</a:t>
                </a:r>
              </a:p>
            </c:rich>
          </c:tx>
          <c:layout>
            <c:manualLayout>
              <c:xMode val="edge"/>
              <c:yMode val="edge"/>
              <c:x val="0.43979123933037784"/>
              <c:y val="0.89920461942257246"/>
            </c:manualLayout>
          </c:layout>
          <c:overlay val="0"/>
          <c:spPr>
            <a:noFill/>
            <a:ln w="25400">
              <a:noFill/>
            </a:ln>
          </c:spPr>
        </c:title>
        <c:numFmt formatCode="0.0" sourceLinked="0"/>
        <c:majorTickMark val="out"/>
        <c:minorTickMark val="out"/>
        <c:tickLblPos val="nextTo"/>
        <c:crossAx val="70633344"/>
        <c:crosses val="max"/>
        <c:crossBetween val="midCat"/>
        <c:majorUnit val="1"/>
        <c:minorUnit val="0.2"/>
      </c:valAx>
      <c:valAx>
        <c:axId val="70633344"/>
        <c:scaling>
          <c:orientation val="minMax"/>
          <c:max val="0.22000000000000003"/>
          <c:min val="0.1"/>
        </c:scaling>
        <c:delete val="0"/>
        <c:axPos val="l"/>
        <c:majorGridlines>
          <c:spPr>
            <a:ln w="3175">
              <a:solidFill>
                <a:schemeClr val="bg1">
                  <a:lumMod val="65000"/>
                </a:schemeClr>
              </a:solidFill>
              <a:prstDash val="solid"/>
            </a:ln>
          </c:spPr>
        </c:majorGridlines>
        <c:title>
          <c:tx>
            <c:rich>
              <a:bodyPr/>
              <a:lstStyle/>
              <a:p>
                <a:pPr>
                  <a:defRPr sz="1000" b="1" i="0" u="none" strike="noStrike" baseline="0">
                    <a:solidFill>
                      <a:srgbClr val="000000"/>
                    </a:solidFill>
                    <a:latin typeface="Arial"/>
                    <a:ea typeface="Arial"/>
                    <a:cs typeface="Arial"/>
                  </a:defRPr>
                </a:pPr>
                <a:r>
                  <a:rPr lang="pt-BR"/>
                  <a:t>Absorbância </a:t>
                </a:r>
              </a:p>
            </c:rich>
          </c:tx>
          <c:layout>
            <c:manualLayout>
              <c:xMode val="edge"/>
              <c:yMode val="edge"/>
              <c:x val="1.9833697258430937E-2"/>
              <c:y val="0.34345490813648305"/>
            </c:manualLayout>
          </c:layout>
          <c:overlay val="0"/>
          <c:spPr>
            <a:noFill/>
            <a:ln w="25400">
              <a:noFill/>
            </a:ln>
          </c:spPr>
        </c:title>
        <c:numFmt formatCode="0.00" sourceLinked="0"/>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pt-BR"/>
          </a:p>
        </c:txPr>
        <c:crossAx val="70631424"/>
        <c:crosses val="autoZero"/>
        <c:crossBetween val="midCat"/>
      </c:valAx>
      <c:spPr>
        <a:noFill/>
        <a:ln w="12700">
          <a:solidFill>
            <a:schemeClr val="tx1"/>
          </a:solid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pt-BR"/>
    </a:p>
  </c:txPr>
  <c:printSettings>
    <c:headerFooter alignWithMargins="0"/>
    <c:pageMargins b="0.98425196899999978" l="0.78740157499999996" r="0.78740157499999996" t="0.98425196899999978" header="0.5" footer="0.5"/>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BR" sz="1100" b="1"/>
              <a:t>Pico 10  -  536,4 nm</a:t>
            </a:r>
          </a:p>
        </c:rich>
      </c:tx>
      <c:layout>
        <c:manualLayout>
          <c:xMode val="edge"/>
          <c:yMode val="edge"/>
          <c:x val="0.59919175544233438"/>
          <c:y val="0.10829239159476321"/>
        </c:manualLayout>
      </c:layout>
      <c:overlay val="0"/>
    </c:title>
    <c:autoTitleDeleted val="0"/>
    <c:plotArea>
      <c:layout>
        <c:manualLayout>
          <c:layoutTarget val="inner"/>
          <c:xMode val="edge"/>
          <c:yMode val="edge"/>
          <c:x val="8.1472257828236541E-2"/>
          <c:y val="8.1142394292701508E-2"/>
          <c:w val="0.81675531869566498"/>
          <c:h val="0.74801061007957614"/>
        </c:manualLayout>
      </c:layout>
      <c:scatterChart>
        <c:scatterStyle val="smoothMarker"/>
        <c:varyColors val="0"/>
        <c:ser>
          <c:idx val="0"/>
          <c:order val="0"/>
          <c:tx>
            <c:v>Pico 10</c:v>
          </c:tx>
          <c:spPr>
            <a:ln w="12700">
              <a:solidFill>
                <a:srgbClr val="000080"/>
              </a:solidFill>
              <a:prstDash val="solid"/>
            </a:ln>
          </c:spPr>
          <c:marker>
            <c:symbol val="none"/>
          </c:marker>
          <c:xVal>
            <c:numRef>
              <c:f>'Registro Tratado'!$AD$1381:$AD$1501</c:f>
              <c:numCache>
                <c:formatCode>0.0</c:formatCode>
                <c:ptCount val="121"/>
                <c:pt idx="0">
                  <c:v>542.4</c:v>
                </c:pt>
                <c:pt idx="1">
                  <c:v>542.29999999999995</c:v>
                </c:pt>
                <c:pt idx="2">
                  <c:v>542.20000000000005</c:v>
                </c:pt>
                <c:pt idx="3">
                  <c:v>542.1</c:v>
                </c:pt>
                <c:pt idx="4">
                  <c:v>542</c:v>
                </c:pt>
                <c:pt idx="5">
                  <c:v>541.9</c:v>
                </c:pt>
                <c:pt idx="6">
                  <c:v>541.79999999999995</c:v>
                </c:pt>
                <c:pt idx="7">
                  <c:v>541.70000000000005</c:v>
                </c:pt>
                <c:pt idx="8">
                  <c:v>541.6</c:v>
                </c:pt>
                <c:pt idx="9">
                  <c:v>541.5</c:v>
                </c:pt>
                <c:pt idx="10">
                  <c:v>541.4</c:v>
                </c:pt>
                <c:pt idx="11">
                  <c:v>541.29999999999995</c:v>
                </c:pt>
                <c:pt idx="12">
                  <c:v>541.20000000000005</c:v>
                </c:pt>
                <c:pt idx="13">
                  <c:v>541.1</c:v>
                </c:pt>
                <c:pt idx="14">
                  <c:v>541</c:v>
                </c:pt>
                <c:pt idx="15">
                  <c:v>540.9</c:v>
                </c:pt>
                <c:pt idx="16">
                  <c:v>540.79999999999995</c:v>
                </c:pt>
                <c:pt idx="17">
                  <c:v>540.70000000000005</c:v>
                </c:pt>
                <c:pt idx="18">
                  <c:v>540.6</c:v>
                </c:pt>
                <c:pt idx="19">
                  <c:v>540.5</c:v>
                </c:pt>
                <c:pt idx="20">
                  <c:v>540.4</c:v>
                </c:pt>
                <c:pt idx="21">
                  <c:v>540.29999999999995</c:v>
                </c:pt>
                <c:pt idx="22">
                  <c:v>540.20000000000005</c:v>
                </c:pt>
                <c:pt idx="23">
                  <c:v>540.1</c:v>
                </c:pt>
                <c:pt idx="24">
                  <c:v>540</c:v>
                </c:pt>
                <c:pt idx="25">
                  <c:v>539.9</c:v>
                </c:pt>
                <c:pt idx="26">
                  <c:v>539.79999999999995</c:v>
                </c:pt>
                <c:pt idx="27">
                  <c:v>539.70000000000005</c:v>
                </c:pt>
                <c:pt idx="28">
                  <c:v>539.6</c:v>
                </c:pt>
                <c:pt idx="29">
                  <c:v>539.5</c:v>
                </c:pt>
                <c:pt idx="30">
                  <c:v>539.4</c:v>
                </c:pt>
                <c:pt idx="31">
                  <c:v>539.29999999999995</c:v>
                </c:pt>
                <c:pt idx="32">
                  <c:v>539.20000000000005</c:v>
                </c:pt>
                <c:pt idx="33">
                  <c:v>539.1</c:v>
                </c:pt>
                <c:pt idx="34">
                  <c:v>539</c:v>
                </c:pt>
                <c:pt idx="35">
                  <c:v>538.9</c:v>
                </c:pt>
                <c:pt idx="36">
                  <c:v>538.79999999999995</c:v>
                </c:pt>
                <c:pt idx="37">
                  <c:v>538.70000000000005</c:v>
                </c:pt>
                <c:pt idx="38">
                  <c:v>538.6</c:v>
                </c:pt>
                <c:pt idx="39">
                  <c:v>538.5</c:v>
                </c:pt>
                <c:pt idx="40">
                  <c:v>538.4</c:v>
                </c:pt>
                <c:pt idx="41">
                  <c:v>538.29999999999995</c:v>
                </c:pt>
                <c:pt idx="42">
                  <c:v>538.20000000000005</c:v>
                </c:pt>
                <c:pt idx="43">
                  <c:v>538.1</c:v>
                </c:pt>
                <c:pt idx="44">
                  <c:v>538</c:v>
                </c:pt>
                <c:pt idx="45">
                  <c:v>537.9</c:v>
                </c:pt>
                <c:pt idx="46">
                  <c:v>537.79999999999995</c:v>
                </c:pt>
                <c:pt idx="47">
                  <c:v>537.70000000000005</c:v>
                </c:pt>
                <c:pt idx="48">
                  <c:v>537.6</c:v>
                </c:pt>
                <c:pt idx="49">
                  <c:v>537.5</c:v>
                </c:pt>
                <c:pt idx="50">
                  <c:v>537.4</c:v>
                </c:pt>
                <c:pt idx="51">
                  <c:v>537.29999999999995</c:v>
                </c:pt>
                <c:pt idx="52">
                  <c:v>537.20000000000005</c:v>
                </c:pt>
                <c:pt idx="53">
                  <c:v>537.1</c:v>
                </c:pt>
                <c:pt idx="54">
                  <c:v>537</c:v>
                </c:pt>
                <c:pt idx="55">
                  <c:v>536.9</c:v>
                </c:pt>
                <c:pt idx="56">
                  <c:v>536.79999999999995</c:v>
                </c:pt>
                <c:pt idx="57">
                  <c:v>536.70000000000005</c:v>
                </c:pt>
                <c:pt idx="58">
                  <c:v>536.6</c:v>
                </c:pt>
                <c:pt idx="59">
                  <c:v>536.5</c:v>
                </c:pt>
                <c:pt idx="60">
                  <c:v>536.4</c:v>
                </c:pt>
                <c:pt idx="61">
                  <c:v>536.29999999999995</c:v>
                </c:pt>
                <c:pt idx="62">
                  <c:v>536.20000000000005</c:v>
                </c:pt>
                <c:pt idx="63">
                  <c:v>536.1</c:v>
                </c:pt>
                <c:pt idx="64">
                  <c:v>536</c:v>
                </c:pt>
                <c:pt idx="65">
                  <c:v>535.9</c:v>
                </c:pt>
                <c:pt idx="66">
                  <c:v>535.79999999999995</c:v>
                </c:pt>
                <c:pt idx="67">
                  <c:v>535.70000000000005</c:v>
                </c:pt>
                <c:pt idx="68">
                  <c:v>535.6</c:v>
                </c:pt>
                <c:pt idx="69">
                  <c:v>535.5</c:v>
                </c:pt>
                <c:pt idx="70">
                  <c:v>535.4</c:v>
                </c:pt>
                <c:pt idx="71">
                  <c:v>535.29999999999995</c:v>
                </c:pt>
                <c:pt idx="72">
                  <c:v>535.20000000000005</c:v>
                </c:pt>
                <c:pt idx="73">
                  <c:v>535.1</c:v>
                </c:pt>
                <c:pt idx="74">
                  <c:v>535</c:v>
                </c:pt>
                <c:pt idx="75">
                  <c:v>534.9</c:v>
                </c:pt>
                <c:pt idx="76">
                  <c:v>534.79999999999995</c:v>
                </c:pt>
                <c:pt idx="77">
                  <c:v>534.70000000000005</c:v>
                </c:pt>
                <c:pt idx="78">
                  <c:v>534.6</c:v>
                </c:pt>
                <c:pt idx="79">
                  <c:v>534.5</c:v>
                </c:pt>
                <c:pt idx="80">
                  <c:v>534.4</c:v>
                </c:pt>
                <c:pt idx="81">
                  <c:v>534.29999999999995</c:v>
                </c:pt>
                <c:pt idx="82">
                  <c:v>534.20000000000005</c:v>
                </c:pt>
                <c:pt idx="83">
                  <c:v>534.1</c:v>
                </c:pt>
                <c:pt idx="84">
                  <c:v>534</c:v>
                </c:pt>
                <c:pt idx="85">
                  <c:v>533.9</c:v>
                </c:pt>
                <c:pt idx="86">
                  <c:v>533.79999999999995</c:v>
                </c:pt>
                <c:pt idx="87">
                  <c:v>533.70000000000005</c:v>
                </c:pt>
                <c:pt idx="88">
                  <c:v>533.6</c:v>
                </c:pt>
                <c:pt idx="89">
                  <c:v>533.5</c:v>
                </c:pt>
                <c:pt idx="90">
                  <c:v>533.4</c:v>
                </c:pt>
                <c:pt idx="91">
                  <c:v>533.29999999999995</c:v>
                </c:pt>
                <c:pt idx="92">
                  <c:v>533.20000000000005</c:v>
                </c:pt>
                <c:pt idx="93">
                  <c:v>533.1</c:v>
                </c:pt>
                <c:pt idx="94">
                  <c:v>533</c:v>
                </c:pt>
                <c:pt idx="95">
                  <c:v>532.9</c:v>
                </c:pt>
                <c:pt idx="96">
                  <c:v>532.79999999999995</c:v>
                </c:pt>
                <c:pt idx="97">
                  <c:v>532.70000000000005</c:v>
                </c:pt>
                <c:pt idx="98">
                  <c:v>532.6</c:v>
                </c:pt>
                <c:pt idx="99">
                  <c:v>532.5</c:v>
                </c:pt>
                <c:pt idx="100">
                  <c:v>532.4</c:v>
                </c:pt>
                <c:pt idx="101">
                  <c:v>532.29999999999995</c:v>
                </c:pt>
                <c:pt idx="102">
                  <c:v>532.20000000000005</c:v>
                </c:pt>
                <c:pt idx="103">
                  <c:v>532.1</c:v>
                </c:pt>
                <c:pt idx="104">
                  <c:v>532</c:v>
                </c:pt>
                <c:pt idx="105">
                  <c:v>531.9</c:v>
                </c:pt>
                <c:pt idx="106">
                  <c:v>531.79999999999995</c:v>
                </c:pt>
                <c:pt idx="107">
                  <c:v>531.70000000000005</c:v>
                </c:pt>
                <c:pt idx="108">
                  <c:v>531.6</c:v>
                </c:pt>
                <c:pt idx="109">
                  <c:v>531.5</c:v>
                </c:pt>
                <c:pt idx="110">
                  <c:v>531.4</c:v>
                </c:pt>
                <c:pt idx="111">
                  <c:v>531.29999999999995</c:v>
                </c:pt>
                <c:pt idx="112">
                  <c:v>531.20000000000005</c:v>
                </c:pt>
                <c:pt idx="113">
                  <c:v>531.1</c:v>
                </c:pt>
                <c:pt idx="114">
                  <c:v>531</c:v>
                </c:pt>
                <c:pt idx="115">
                  <c:v>530.9</c:v>
                </c:pt>
                <c:pt idx="116">
                  <c:v>530.79999999999995</c:v>
                </c:pt>
                <c:pt idx="117">
                  <c:v>530.70000000000005</c:v>
                </c:pt>
                <c:pt idx="118">
                  <c:v>530.6</c:v>
                </c:pt>
                <c:pt idx="119">
                  <c:v>530.5</c:v>
                </c:pt>
                <c:pt idx="120">
                  <c:v>530.4</c:v>
                </c:pt>
              </c:numCache>
            </c:numRef>
          </c:xVal>
          <c:yVal>
            <c:numRef>
              <c:f>'Registro Tratado'!$AF$1381:$AF$1501</c:f>
              <c:numCache>
                <c:formatCode>0.0000</c:formatCode>
                <c:ptCount val="121"/>
                <c:pt idx="0">
                  <c:v>0.16204559565367879</c:v>
                </c:pt>
                <c:pt idx="1">
                  <c:v>0.16410025672880793</c:v>
                </c:pt>
                <c:pt idx="2">
                  <c:v>0.1664831618110077</c:v>
                </c:pt>
                <c:pt idx="3">
                  <c:v>0.1689304737474768</c:v>
                </c:pt>
                <c:pt idx="4">
                  <c:v>0.17143676729604776</c:v>
                </c:pt>
                <c:pt idx="5">
                  <c:v>0.17398353928248597</c:v>
                </c:pt>
                <c:pt idx="6">
                  <c:v>0.17657794146846711</c:v>
                </c:pt>
                <c:pt idx="7">
                  <c:v>0.17935199218262024</c:v>
                </c:pt>
                <c:pt idx="8">
                  <c:v>0.18234870548175761</c:v>
                </c:pt>
                <c:pt idx="9">
                  <c:v>0.18519989632666695</c:v>
                </c:pt>
                <c:pt idx="10">
                  <c:v>0.1881904848188663</c:v>
                </c:pt>
                <c:pt idx="11">
                  <c:v>0.19123553626375583</c:v>
                </c:pt>
                <c:pt idx="12">
                  <c:v>0.19429529556613559</c:v>
                </c:pt>
                <c:pt idx="13">
                  <c:v>0.19741781686992466</c:v>
                </c:pt>
                <c:pt idx="14">
                  <c:v>0.20025292064687472</c:v>
                </c:pt>
                <c:pt idx="15">
                  <c:v>0.20359220139194453</c:v>
                </c:pt>
                <c:pt idx="16">
                  <c:v>0.20737021429015004</c:v>
                </c:pt>
                <c:pt idx="17">
                  <c:v>0.21109663834756745</c:v>
                </c:pt>
                <c:pt idx="18">
                  <c:v>0.21534705246936617</c:v>
                </c:pt>
                <c:pt idx="19">
                  <c:v>0.21960347055273438</c:v>
                </c:pt>
                <c:pt idx="20">
                  <c:v>0.22408386968576804</c:v>
                </c:pt>
                <c:pt idx="21">
                  <c:v>0.22853011053133693</c:v>
                </c:pt>
                <c:pt idx="22">
                  <c:v>0.23308918967342693</c:v>
                </c:pt>
                <c:pt idx="23">
                  <c:v>0.23818488238693075</c:v>
                </c:pt>
                <c:pt idx="24">
                  <c:v>0.24385093965761667</c:v>
                </c:pt>
                <c:pt idx="25">
                  <c:v>0.24953017653123633</c:v>
                </c:pt>
                <c:pt idx="26">
                  <c:v>0.25508927149151628</c:v>
                </c:pt>
                <c:pt idx="27">
                  <c:v>0.26049885720297405</c:v>
                </c:pt>
                <c:pt idx="28">
                  <c:v>0.26691513617974461</c:v>
                </c:pt>
                <c:pt idx="29">
                  <c:v>0.27340318037076033</c:v>
                </c:pt>
                <c:pt idx="30">
                  <c:v>0.28056926765113172</c:v>
                </c:pt>
                <c:pt idx="31">
                  <c:v>0.28728297111400669</c:v>
                </c:pt>
                <c:pt idx="32">
                  <c:v>0.29446983082075207</c:v>
                </c:pt>
                <c:pt idx="33">
                  <c:v>0.30149928716748842</c:v>
                </c:pt>
                <c:pt idx="34">
                  <c:v>0.30878585161720973</c:v>
                </c:pt>
                <c:pt idx="35">
                  <c:v>0.31588206236241934</c:v>
                </c:pt>
                <c:pt idx="36">
                  <c:v>0.32324239379848491</c:v>
                </c:pt>
                <c:pt idx="37">
                  <c:v>0.33042280676836228</c:v>
                </c:pt>
                <c:pt idx="38">
                  <c:v>0.33771448427786993</c:v>
                </c:pt>
                <c:pt idx="39">
                  <c:v>0.34457341225408139</c:v>
                </c:pt>
                <c:pt idx="40">
                  <c:v>0.35077226748784152</c:v>
                </c:pt>
                <c:pt idx="41">
                  <c:v>0.35737722359072588</c:v>
                </c:pt>
                <c:pt idx="42">
                  <c:v>0.36344190005154542</c:v>
                </c:pt>
                <c:pt idx="43">
                  <c:v>0.36969419209956383</c:v>
                </c:pt>
                <c:pt idx="44">
                  <c:v>0.37491401752106762</c:v>
                </c:pt>
                <c:pt idx="45">
                  <c:v>0.38021819047890681</c:v>
                </c:pt>
                <c:pt idx="46">
                  <c:v>0.38484987054698172</c:v>
                </c:pt>
                <c:pt idx="47">
                  <c:v>0.38893553520002927</c:v>
                </c:pt>
                <c:pt idx="48">
                  <c:v>0.39295265425190046</c:v>
                </c:pt>
                <c:pt idx="49">
                  <c:v>0.3965308402661612</c:v>
                </c:pt>
                <c:pt idx="50">
                  <c:v>0.39965886886373536</c:v>
                </c:pt>
                <c:pt idx="51">
                  <c:v>0.40250226553590357</c:v>
                </c:pt>
                <c:pt idx="52">
                  <c:v>0.40537544585110663</c:v>
                </c:pt>
                <c:pt idx="53">
                  <c:v>0.4075012510012207</c:v>
                </c:pt>
                <c:pt idx="54">
                  <c:v>0.40955944345002904</c:v>
                </c:pt>
                <c:pt idx="55">
                  <c:v>0.41126902450192915</c:v>
                </c:pt>
                <c:pt idx="56">
                  <c:v>0.41254721954182272</c:v>
                </c:pt>
                <c:pt idx="57">
                  <c:v>0.4137053238548653</c:v>
                </c:pt>
                <c:pt idx="58">
                  <c:v>0.41422353475828827</c:v>
                </c:pt>
                <c:pt idx="59">
                  <c:v>0.41441520407674232</c:v>
                </c:pt>
                <c:pt idx="60">
                  <c:v>0.41426862581184098</c:v>
                </c:pt>
                <c:pt idx="61">
                  <c:v>0.41376162118352905</c:v>
                </c:pt>
                <c:pt idx="62">
                  <c:v>0.41326645497187792</c:v>
                </c:pt>
                <c:pt idx="63">
                  <c:v>0.41160502705781393</c:v>
                </c:pt>
                <c:pt idx="64">
                  <c:v>0.40947023846216213</c:v>
                </c:pt>
                <c:pt idx="65">
                  <c:v>0.40679149249075935</c:v>
                </c:pt>
                <c:pt idx="66">
                  <c:v>0.4032160330343022</c:v>
                </c:pt>
                <c:pt idx="67">
                  <c:v>0.39960437018983141</c:v>
                </c:pt>
                <c:pt idx="68">
                  <c:v>0.39519095774048713</c:v>
                </c:pt>
                <c:pt idx="69">
                  <c:v>0.39008558991400233</c:v>
                </c:pt>
                <c:pt idx="70">
                  <c:v>0.38431291806516876</c:v>
                </c:pt>
                <c:pt idx="71">
                  <c:v>0.37787927226474766</c:v>
                </c:pt>
                <c:pt idx="72">
                  <c:v>0.37104940514846652</c:v>
                </c:pt>
                <c:pt idx="73">
                  <c:v>0.36397372409279383</c:v>
                </c:pt>
                <c:pt idx="74">
                  <c:v>0.35665591070825337</c:v>
                </c:pt>
                <c:pt idx="75">
                  <c:v>0.34865413278995272</c:v>
                </c:pt>
                <c:pt idx="76">
                  <c:v>0.34061630330275328</c:v>
                </c:pt>
                <c:pt idx="77">
                  <c:v>0.33168864670307563</c:v>
                </c:pt>
                <c:pt idx="78">
                  <c:v>0.32331553351310161</c:v>
                </c:pt>
                <c:pt idx="79">
                  <c:v>0.31351567102083561</c:v>
                </c:pt>
                <c:pt idx="80">
                  <c:v>0.30483365169413085</c:v>
                </c:pt>
                <c:pt idx="81">
                  <c:v>0.29625306668453294</c:v>
                </c:pt>
                <c:pt idx="82">
                  <c:v>0.28745972743448461</c:v>
                </c:pt>
                <c:pt idx="83">
                  <c:v>0.27855213504970161</c:v>
                </c:pt>
                <c:pt idx="84">
                  <c:v>0.26947611760727708</c:v>
                </c:pt>
                <c:pt idx="85">
                  <c:v>0.26071253222913104</c:v>
                </c:pt>
                <c:pt idx="86">
                  <c:v>0.25208349190348966</c:v>
                </c:pt>
                <c:pt idx="87">
                  <c:v>0.24394993804071996</c:v>
                </c:pt>
                <c:pt idx="88">
                  <c:v>0.23591357625086054</c:v>
                </c:pt>
                <c:pt idx="89">
                  <c:v>0.22798651695449215</c:v>
                </c:pt>
                <c:pt idx="90">
                  <c:v>0.22007178253891679</c:v>
                </c:pt>
                <c:pt idx="91">
                  <c:v>0.21229871114358659</c:v>
                </c:pt>
                <c:pt idx="92">
                  <c:v>0.20450928494519222</c:v>
                </c:pt>
                <c:pt idx="93">
                  <c:v>0.19752046350322167</c:v>
                </c:pt>
                <c:pt idx="94">
                  <c:v>0.19114785246488003</c:v>
                </c:pt>
                <c:pt idx="95">
                  <c:v>0.18493387822919402</c:v>
                </c:pt>
                <c:pt idx="96">
                  <c:v>0.1785454295990602</c:v>
                </c:pt>
                <c:pt idx="97">
                  <c:v>0.17241105018732591</c:v>
                </c:pt>
                <c:pt idx="98">
                  <c:v>0.16648953373606232</c:v>
                </c:pt>
                <c:pt idx="99">
                  <c:v>0.16105650767952256</c:v>
                </c:pt>
                <c:pt idx="100">
                  <c:v>0.15599527542777097</c:v>
                </c:pt>
                <c:pt idx="101">
                  <c:v>0.15096160559781557</c:v>
                </c:pt>
                <c:pt idx="102">
                  <c:v>0.14620447823419525</c:v>
                </c:pt>
                <c:pt idx="103">
                  <c:v>0.14175764528466209</c:v>
                </c:pt>
                <c:pt idx="104">
                  <c:v>0.13759429050512725</c:v>
                </c:pt>
                <c:pt idx="105">
                  <c:v>0.13325202135361033</c:v>
                </c:pt>
                <c:pt idx="106">
                  <c:v>0.12909887230801412</c:v>
                </c:pt>
                <c:pt idx="107">
                  <c:v>0.12566316460263219</c:v>
                </c:pt>
                <c:pt idx="108">
                  <c:v>0.12245013473927095</c:v>
                </c:pt>
                <c:pt idx="109">
                  <c:v>0.11938645782463268</c:v>
                </c:pt>
                <c:pt idx="110">
                  <c:v>0.11636695103430079</c:v>
                </c:pt>
                <c:pt idx="111">
                  <c:v>0.11287240077731152</c:v>
                </c:pt>
                <c:pt idx="112">
                  <c:v>0.11011589300525844</c:v>
                </c:pt>
                <c:pt idx="113">
                  <c:v>0.10787199132650993</c:v>
                </c:pt>
                <c:pt idx="114">
                  <c:v>0.10552885983421259</c:v>
                </c:pt>
                <c:pt idx="115">
                  <c:v>0.10296703395162975</c:v>
                </c:pt>
                <c:pt idx="116">
                  <c:v>0.10090757813939187</c:v>
                </c:pt>
                <c:pt idx="117">
                  <c:v>9.8672477063435682E-2</c:v>
                </c:pt>
                <c:pt idx="118">
                  <c:v>9.6606113223243958E-2</c:v>
                </c:pt>
                <c:pt idx="119">
                  <c:v>9.4635931233107692E-2</c:v>
                </c:pt>
                <c:pt idx="120">
                  <c:v>9.2943529680681952E-2</c:v>
                </c:pt>
              </c:numCache>
            </c:numRef>
          </c:yVal>
          <c:smooth val="1"/>
          <c:extLst>
            <c:ext xmlns:c16="http://schemas.microsoft.com/office/drawing/2014/chart" uri="{C3380CC4-5D6E-409C-BE32-E72D297353CC}">
              <c16:uniqueId val="{00000000-59E3-40B5-A0BA-C0B249EC68C8}"/>
            </c:ext>
          </c:extLst>
        </c:ser>
        <c:ser>
          <c:idx val="1"/>
          <c:order val="1"/>
          <c:tx>
            <c:v>Pico 10 - CAL1</c:v>
          </c:tx>
          <c:spPr>
            <a:ln w="31750">
              <a:solidFill>
                <a:srgbClr val="FF0000"/>
              </a:solidFill>
            </a:ln>
          </c:spPr>
          <c:marker>
            <c:symbol val="none"/>
          </c:marker>
          <c:trendline>
            <c:trendlineType val="poly"/>
            <c:order val="6"/>
            <c:dispRSqr val="1"/>
            <c:dispEq val="1"/>
            <c:trendlineLbl>
              <c:layout>
                <c:manualLayout>
                  <c:x val="8.6708177398721054E-2"/>
                  <c:y val="-0.37429539870390455"/>
                </c:manualLayout>
              </c:layout>
              <c:numFmt formatCode="0.000000000000000E+00" sourceLinked="0"/>
            </c:trendlineLbl>
          </c:trendline>
          <c:xVal>
            <c:numRef>
              <c:f>'Registro Tratado'!$B$85:$B$93</c:f>
              <c:numCache>
                <c:formatCode>0.0</c:formatCode>
                <c:ptCount val="9"/>
                <c:pt idx="0">
                  <c:v>541</c:v>
                </c:pt>
                <c:pt idx="1">
                  <c:v>540</c:v>
                </c:pt>
                <c:pt idx="2">
                  <c:v>539</c:v>
                </c:pt>
                <c:pt idx="3">
                  <c:v>538</c:v>
                </c:pt>
                <c:pt idx="4">
                  <c:v>537</c:v>
                </c:pt>
                <c:pt idx="5">
                  <c:v>536</c:v>
                </c:pt>
                <c:pt idx="6">
                  <c:v>535</c:v>
                </c:pt>
                <c:pt idx="7">
                  <c:v>534</c:v>
                </c:pt>
                <c:pt idx="8">
                  <c:v>533</c:v>
                </c:pt>
              </c:numCache>
            </c:numRef>
          </c:xVal>
          <c:yVal>
            <c:numRef>
              <c:f>'Registro Tratado'!$C$85:$C$93</c:f>
              <c:numCache>
                <c:formatCode>0.000</c:formatCode>
                <c:ptCount val="9"/>
                <c:pt idx="0">
                  <c:v>0.193</c:v>
                </c:pt>
                <c:pt idx="1">
                  <c:v>0.222</c:v>
                </c:pt>
                <c:pt idx="2">
                  <c:v>0.254</c:v>
                </c:pt>
                <c:pt idx="3">
                  <c:v>0.28199999999999997</c:v>
                </c:pt>
                <c:pt idx="4">
                  <c:v>0.28499999999999998</c:v>
                </c:pt>
                <c:pt idx="5">
                  <c:v>0.27</c:v>
                </c:pt>
                <c:pt idx="6">
                  <c:v>0.23300000000000001</c:v>
                </c:pt>
                <c:pt idx="7">
                  <c:v>0.19600000000000001</c:v>
                </c:pt>
                <c:pt idx="8">
                  <c:v>0.159</c:v>
                </c:pt>
              </c:numCache>
            </c:numRef>
          </c:yVal>
          <c:smooth val="1"/>
          <c:extLst>
            <c:ext xmlns:c16="http://schemas.microsoft.com/office/drawing/2014/chart" uri="{C3380CC4-5D6E-409C-BE32-E72D297353CC}">
              <c16:uniqueId val="{00000001-59E3-40B5-A0BA-C0B249EC68C8}"/>
            </c:ext>
          </c:extLst>
        </c:ser>
        <c:ser>
          <c:idx val="2"/>
          <c:order val="2"/>
          <c:tx>
            <c:v>Pico 10 - Largura de banda</c:v>
          </c:tx>
          <c:spPr>
            <a:ln w="15875">
              <a:solidFill>
                <a:srgbClr val="FFC000"/>
              </a:solidFill>
            </a:ln>
          </c:spPr>
          <c:marker>
            <c:symbol val="none"/>
          </c:marker>
          <c:xVal>
            <c:numRef>
              <c:f>'Registro Tratado'!$AH$79:$CP$79</c:f>
              <c:numCache>
                <c:formatCode>General</c:formatCode>
                <c:ptCount val="61"/>
                <c:pt idx="0">
                  <c:v>530.4</c:v>
                </c:pt>
                <c:pt idx="1">
                  <c:v>530.6</c:v>
                </c:pt>
                <c:pt idx="2">
                  <c:v>530.80000000000007</c:v>
                </c:pt>
                <c:pt idx="3">
                  <c:v>531.00000000000011</c:v>
                </c:pt>
                <c:pt idx="4">
                  <c:v>531.20000000000016</c:v>
                </c:pt>
                <c:pt idx="5">
                  <c:v>531.4000000000002</c:v>
                </c:pt>
                <c:pt idx="6">
                  <c:v>531.60000000000025</c:v>
                </c:pt>
                <c:pt idx="7">
                  <c:v>531.8000000000003</c:v>
                </c:pt>
                <c:pt idx="8">
                  <c:v>532.00000000000034</c:v>
                </c:pt>
                <c:pt idx="9">
                  <c:v>532.20000000000039</c:v>
                </c:pt>
                <c:pt idx="10">
                  <c:v>532.40000000000043</c:v>
                </c:pt>
                <c:pt idx="11">
                  <c:v>532.60000000000048</c:v>
                </c:pt>
                <c:pt idx="12">
                  <c:v>532.80000000000052</c:v>
                </c:pt>
                <c:pt idx="13">
                  <c:v>533.00000000000057</c:v>
                </c:pt>
                <c:pt idx="14">
                  <c:v>533.20000000000061</c:v>
                </c:pt>
                <c:pt idx="15">
                  <c:v>533.40000000000066</c:v>
                </c:pt>
                <c:pt idx="16">
                  <c:v>533.6000000000007</c:v>
                </c:pt>
                <c:pt idx="17">
                  <c:v>533.80000000000075</c:v>
                </c:pt>
                <c:pt idx="18">
                  <c:v>534.0000000000008</c:v>
                </c:pt>
                <c:pt idx="19">
                  <c:v>534.20000000000084</c:v>
                </c:pt>
                <c:pt idx="20">
                  <c:v>534.40000000000089</c:v>
                </c:pt>
                <c:pt idx="21">
                  <c:v>534.60000000000093</c:v>
                </c:pt>
                <c:pt idx="22">
                  <c:v>534.80000000000098</c:v>
                </c:pt>
                <c:pt idx="23">
                  <c:v>535.00000000000102</c:v>
                </c:pt>
                <c:pt idx="24">
                  <c:v>535.20000000000107</c:v>
                </c:pt>
                <c:pt idx="25">
                  <c:v>535.40000000000111</c:v>
                </c:pt>
                <c:pt idx="26">
                  <c:v>535.60000000000116</c:v>
                </c:pt>
                <c:pt idx="27">
                  <c:v>535.80000000000121</c:v>
                </c:pt>
                <c:pt idx="28">
                  <c:v>536.00000000000125</c:v>
                </c:pt>
                <c:pt idx="29">
                  <c:v>536.2000000000013</c:v>
                </c:pt>
                <c:pt idx="30">
                  <c:v>536.40000000000134</c:v>
                </c:pt>
                <c:pt idx="31">
                  <c:v>536.60000000000139</c:v>
                </c:pt>
                <c:pt idx="32">
                  <c:v>536.80000000000143</c:v>
                </c:pt>
                <c:pt idx="33">
                  <c:v>537.00000000000148</c:v>
                </c:pt>
                <c:pt idx="34">
                  <c:v>537.20000000000152</c:v>
                </c:pt>
                <c:pt idx="35">
                  <c:v>537.40000000000157</c:v>
                </c:pt>
                <c:pt idx="36">
                  <c:v>537.60000000000161</c:v>
                </c:pt>
                <c:pt idx="37">
                  <c:v>537.80000000000166</c:v>
                </c:pt>
                <c:pt idx="38">
                  <c:v>538.00000000000171</c:v>
                </c:pt>
                <c:pt idx="39">
                  <c:v>538.20000000000175</c:v>
                </c:pt>
                <c:pt idx="40">
                  <c:v>538.4000000000018</c:v>
                </c:pt>
                <c:pt idx="41">
                  <c:v>538.60000000000184</c:v>
                </c:pt>
                <c:pt idx="42">
                  <c:v>538.80000000000189</c:v>
                </c:pt>
                <c:pt idx="43">
                  <c:v>539.00000000000193</c:v>
                </c:pt>
                <c:pt idx="44">
                  <c:v>539.20000000000198</c:v>
                </c:pt>
                <c:pt idx="45">
                  <c:v>539.40000000000202</c:v>
                </c:pt>
                <c:pt idx="46">
                  <c:v>539.60000000000207</c:v>
                </c:pt>
                <c:pt idx="47">
                  <c:v>539.80000000000211</c:v>
                </c:pt>
                <c:pt idx="48">
                  <c:v>540.00000000000216</c:v>
                </c:pt>
                <c:pt idx="49">
                  <c:v>540.20000000000221</c:v>
                </c:pt>
                <c:pt idx="50">
                  <c:v>540.40000000000225</c:v>
                </c:pt>
                <c:pt idx="51">
                  <c:v>540.6000000000023</c:v>
                </c:pt>
                <c:pt idx="52">
                  <c:v>540.80000000000234</c:v>
                </c:pt>
                <c:pt idx="53">
                  <c:v>541.00000000000239</c:v>
                </c:pt>
                <c:pt idx="54">
                  <c:v>541.20000000000243</c:v>
                </c:pt>
                <c:pt idx="55">
                  <c:v>541.40000000000248</c:v>
                </c:pt>
                <c:pt idx="56">
                  <c:v>541.60000000000252</c:v>
                </c:pt>
                <c:pt idx="57">
                  <c:v>541.80000000000257</c:v>
                </c:pt>
                <c:pt idx="58">
                  <c:v>542.00000000000261</c:v>
                </c:pt>
                <c:pt idx="59">
                  <c:v>542.20000000000266</c:v>
                </c:pt>
                <c:pt idx="60">
                  <c:v>542.40000000000271</c:v>
                </c:pt>
              </c:numCache>
            </c:numRef>
          </c:xVal>
          <c:yVal>
            <c:numRef>
              <c:f>'Registro Tratado'!$AH$80:$CP$80</c:f>
              <c:numCache>
                <c:formatCode>General</c:formatCode>
                <c:ptCount val="61"/>
                <c:pt idx="0" formatCode="0.0000">
                  <c:v>0.28815000000000002</c:v>
                </c:pt>
                <c:pt idx="1">
                  <c:v>0.28815000000000002</c:v>
                </c:pt>
                <c:pt idx="2">
                  <c:v>0.28815000000000002</c:v>
                </c:pt>
                <c:pt idx="3">
                  <c:v>0.28815000000000002</c:v>
                </c:pt>
                <c:pt idx="4">
                  <c:v>0.28815000000000002</c:v>
                </c:pt>
                <c:pt idx="5">
                  <c:v>0.28815000000000002</c:v>
                </c:pt>
                <c:pt idx="6">
                  <c:v>0.28815000000000002</c:v>
                </c:pt>
                <c:pt idx="7">
                  <c:v>0.28815000000000002</c:v>
                </c:pt>
                <c:pt idx="8">
                  <c:v>0.28815000000000002</c:v>
                </c:pt>
                <c:pt idx="9">
                  <c:v>0.28815000000000002</c:v>
                </c:pt>
                <c:pt idx="10">
                  <c:v>0.28815000000000002</c:v>
                </c:pt>
                <c:pt idx="11">
                  <c:v>0.28815000000000002</c:v>
                </c:pt>
                <c:pt idx="12">
                  <c:v>0.28815000000000002</c:v>
                </c:pt>
                <c:pt idx="13">
                  <c:v>0.28815000000000002</c:v>
                </c:pt>
                <c:pt idx="14">
                  <c:v>0.28815000000000002</c:v>
                </c:pt>
                <c:pt idx="15">
                  <c:v>0.28815000000000002</c:v>
                </c:pt>
                <c:pt idx="16">
                  <c:v>0.28815000000000002</c:v>
                </c:pt>
                <c:pt idx="17">
                  <c:v>0.28815000000000002</c:v>
                </c:pt>
                <c:pt idx="18">
                  <c:v>0.28815000000000002</c:v>
                </c:pt>
                <c:pt idx="19">
                  <c:v>0.28815000000000002</c:v>
                </c:pt>
                <c:pt idx="20">
                  <c:v>0.28815000000000002</c:v>
                </c:pt>
                <c:pt idx="21">
                  <c:v>0.28815000000000002</c:v>
                </c:pt>
                <c:pt idx="22">
                  <c:v>0.28815000000000002</c:v>
                </c:pt>
                <c:pt idx="23">
                  <c:v>0.28815000000000002</c:v>
                </c:pt>
                <c:pt idx="24">
                  <c:v>0.28815000000000002</c:v>
                </c:pt>
                <c:pt idx="25">
                  <c:v>0.28815000000000002</c:v>
                </c:pt>
                <c:pt idx="26">
                  <c:v>0.28815000000000002</c:v>
                </c:pt>
                <c:pt idx="27">
                  <c:v>0.28815000000000002</c:v>
                </c:pt>
                <c:pt idx="28">
                  <c:v>0.28815000000000002</c:v>
                </c:pt>
                <c:pt idx="29">
                  <c:v>0.28815000000000002</c:v>
                </c:pt>
                <c:pt idx="30">
                  <c:v>0.28815000000000002</c:v>
                </c:pt>
                <c:pt idx="31">
                  <c:v>0.28815000000000002</c:v>
                </c:pt>
                <c:pt idx="32">
                  <c:v>0.28815000000000002</c:v>
                </c:pt>
                <c:pt idx="33">
                  <c:v>0.28815000000000002</c:v>
                </c:pt>
                <c:pt idx="34">
                  <c:v>0.28815000000000002</c:v>
                </c:pt>
                <c:pt idx="35">
                  <c:v>0.28815000000000002</c:v>
                </c:pt>
                <c:pt idx="36">
                  <c:v>0.28815000000000002</c:v>
                </c:pt>
                <c:pt idx="37">
                  <c:v>0.28815000000000002</c:v>
                </c:pt>
                <c:pt idx="38">
                  <c:v>0.28815000000000002</c:v>
                </c:pt>
                <c:pt idx="39">
                  <c:v>0.28815000000000002</c:v>
                </c:pt>
                <c:pt idx="40">
                  <c:v>0.28815000000000002</c:v>
                </c:pt>
                <c:pt idx="41">
                  <c:v>0.28815000000000002</c:v>
                </c:pt>
                <c:pt idx="42">
                  <c:v>0.28815000000000002</c:v>
                </c:pt>
                <c:pt idx="43">
                  <c:v>0.28815000000000002</c:v>
                </c:pt>
                <c:pt idx="44">
                  <c:v>0.28815000000000002</c:v>
                </c:pt>
                <c:pt idx="45">
                  <c:v>0.28815000000000002</c:v>
                </c:pt>
                <c:pt idx="46">
                  <c:v>0.28815000000000002</c:v>
                </c:pt>
                <c:pt idx="47">
                  <c:v>0.28815000000000002</c:v>
                </c:pt>
                <c:pt idx="48">
                  <c:v>0.28815000000000002</c:v>
                </c:pt>
                <c:pt idx="49">
                  <c:v>0.28815000000000002</c:v>
                </c:pt>
                <c:pt idx="50">
                  <c:v>0.28815000000000002</c:v>
                </c:pt>
                <c:pt idx="51">
                  <c:v>0.28815000000000002</c:v>
                </c:pt>
                <c:pt idx="52">
                  <c:v>0.28815000000000002</c:v>
                </c:pt>
                <c:pt idx="53">
                  <c:v>0.28815000000000002</c:v>
                </c:pt>
                <c:pt idx="54">
                  <c:v>0.28815000000000002</c:v>
                </c:pt>
                <c:pt idx="55">
                  <c:v>0.28815000000000002</c:v>
                </c:pt>
                <c:pt idx="56">
                  <c:v>0.28815000000000002</c:v>
                </c:pt>
                <c:pt idx="57">
                  <c:v>0.28815000000000002</c:v>
                </c:pt>
                <c:pt idx="58">
                  <c:v>0.28815000000000002</c:v>
                </c:pt>
                <c:pt idx="59">
                  <c:v>0.28815000000000002</c:v>
                </c:pt>
                <c:pt idx="60">
                  <c:v>0.28815000000000002</c:v>
                </c:pt>
              </c:numCache>
            </c:numRef>
          </c:yVal>
          <c:smooth val="1"/>
          <c:extLst>
            <c:ext xmlns:c16="http://schemas.microsoft.com/office/drawing/2014/chart" uri="{C3380CC4-5D6E-409C-BE32-E72D297353CC}">
              <c16:uniqueId val="{00000002-59E3-40B5-A0BA-C0B249EC68C8}"/>
            </c:ext>
          </c:extLst>
        </c:ser>
        <c:ser>
          <c:idx val="3"/>
          <c:order val="3"/>
          <c:tx>
            <c:v>Pico 10 - CAL2</c:v>
          </c:tx>
          <c:spPr>
            <a:ln w="31750">
              <a:solidFill>
                <a:srgbClr val="00B050"/>
              </a:solidFill>
            </a:ln>
          </c:spPr>
          <c:marker>
            <c:symbol val="none"/>
          </c:marker>
          <c:trendline>
            <c:trendlineType val="poly"/>
            <c:order val="6"/>
            <c:dispRSqr val="1"/>
            <c:dispEq val="1"/>
            <c:trendlineLbl>
              <c:layout>
                <c:manualLayout>
                  <c:x val="1.0379816256219952E-2"/>
                  <c:y val="0.11270016397650892"/>
                </c:manualLayout>
              </c:layout>
              <c:numFmt formatCode="0.000000000000000E+00" sourceLinked="0"/>
            </c:trendlineLbl>
          </c:trendline>
          <c:xVal>
            <c:numRef>
              <c:f>'Registro Tratado'!$E$84:$E$92</c:f>
              <c:numCache>
                <c:formatCode>0.0</c:formatCode>
                <c:ptCount val="9"/>
                <c:pt idx="0">
                  <c:v>539.5</c:v>
                </c:pt>
                <c:pt idx="1">
                  <c:v>539</c:v>
                </c:pt>
                <c:pt idx="2">
                  <c:v>538.5</c:v>
                </c:pt>
                <c:pt idx="3">
                  <c:v>538</c:v>
                </c:pt>
                <c:pt idx="4">
                  <c:v>537.5</c:v>
                </c:pt>
                <c:pt idx="5">
                  <c:v>537</c:v>
                </c:pt>
                <c:pt idx="6">
                  <c:v>536.5</c:v>
                </c:pt>
                <c:pt idx="7">
                  <c:v>536</c:v>
                </c:pt>
                <c:pt idx="8">
                  <c:v>535.5</c:v>
                </c:pt>
              </c:numCache>
            </c:numRef>
          </c:xVal>
          <c:yVal>
            <c:numRef>
              <c:f>'Registro Tratado'!$F$84:$F$92</c:f>
              <c:numCache>
                <c:formatCode>0.000</c:formatCode>
                <c:ptCount val="9"/>
                <c:pt idx="0">
                  <c:v>0.17</c:v>
                </c:pt>
                <c:pt idx="1">
                  <c:v>0.2</c:v>
                </c:pt>
                <c:pt idx="2">
                  <c:v>0.23100000000000001</c:v>
                </c:pt>
                <c:pt idx="3">
                  <c:v>0.26200000000000001</c:v>
                </c:pt>
                <c:pt idx="4">
                  <c:v>0.28499999999999998</c:v>
                </c:pt>
                <c:pt idx="5">
                  <c:v>0.28199999999999997</c:v>
                </c:pt>
                <c:pt idx="6">
                  <c:v>0.26200000000000001</c:v>
                </c:pt>
                <c:pt idx="7">
                  <c:v>0.222</c:v>
                </c:pt>
                <c:pt idx="8">
                  <c:v>0.185</c:v>
                </c:pt>
              </c:numCache>
            </c:numRef>
          </c:yVal>
          <c:smooth val="1"/>
          <c:extLst>
            <c:ext xmlns:c16="http://schemas.microsoft.com/office/drawing/2014/chart" uri="{C3380CC4-5D6E-409C-BE32-E72D297353CC}">
              <c16:uniqueId val="{00000003-59E3-40B5-A0BA-C0B249EC68C8}"/>
            </c:ext>
          </c:extLst>
        </c:ser>
        <c:dLbls>
          <c:showLegendKey val="0"/>
          <c:showVal val="0"/>
          <c:showCatName val="0"/>
          <c:showSerName val="0"/>
          <c:showPercent val="0"/>
          <c:showBubbleSize val="0"/>
        </c:dLbls>
        <c:axId val="77139328"/>
        <c:axId val="77153792"/>
      </c:scatterChart>
      <c:valAx>
        <c:axId val="77139328"/>
        <c:scaling>
          <c:orientation val="minMax"/>
          <c:max val="542.4"/>
          <c:min val="530.4"/>
        </c:scaling>
        <c:delete val="0"/>
        <c:axPos val="t"/>
        <c:title>
          <c:tx>
            <c:rich>
              <a:bodyPr/>
              <a:lstStyle/>
              <a:p>
                <a:pPr>
                  <a:defRPr sz="1000" b="1" i="0" u="none" strike="noStrike" baseline="0">
                    <a:solidFill>
                      <a:srgbClr val="000000"/>
                    </a:solidFill>
                    <a:latin typeface="Arial"/>
                    <a:ea typeface="Arial"/>
                    <a:cs typeface="Arial"/>
                  </a:defRPr>
                </a:pPr>
                <a:r>
                  <a:rPr lang="pt-BR"/>
                  <a:t>Comprimento</a:t>
                </a:r>
                <a:r>
                  <a:rPr lang="pt-BR" baseline="0"/>
                  <a:t> de Onda</a:t>
                </a:r>
                <a:r>
                  <a:rPr lang="pt-BR"/>
                  <a:t> [nm]</a:t>
                </a:r>
              </a:p>
            </c:rich>
          </c:tx>
          <c:layout>
            <c:manualLayout>
              <c:xMode val="edge"/>
              <c:yMode val="edge"/>
              <c:x val="0.43979123933037784"/>
              <c:y val="0.89920442579408111"/>
            </c:manualLayout>
          </c:layout>
          <c:overlay val="0"/>
          <c:spPr>
            <a:noFill/>
            <a:ln w="25400">
              <a:noFill/>
            </a:ln>
          </c:spPr>
        </c:title>
        <c:numFmt formatCode="0.0" sourceLinked="0"/>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pt-BR"/>
          </a:p>
        </c:txPr>
        <c:crossAx val="77153792"/>
        <c:crosses val="max"/>
        <c:crossBetween val="midCat"/>
        <c:majorUnit val="1"/>
        <c:minorUnit val="0.2"/>
      </c:valAx>
      <c:valAx>
        <c:axId val="77153792"/>
        <c:scaling>
          <c:orientation val="minMax"/>
          <c:max val="0.43000000000000016"/>
          <c:min val="9.0000000000000024E-2"/>
        </c:scaling>
        <c:delete val="0"/>
        <c:axPos val="l"/>
        <c:majorGridlines>
          <c:spPr>
            <a:ln w="3175">
              <a:solidFill>
                <a:schemeClr val="bg1">
                  <a:lumMod val="65000"/>
                </a:schemeClr>
              </a:solidFill>
              <a:prstDash val="solid"/>
            </a:ln>
          </c:spPr>
        </c:majorGridlines>
        <c:title>
          <c:tx>
            <c:rich>
              <a:bodyPr/>
              <a:lstStyle/>
              <a:p>
                <a:pPr>
                  <a:defRPr sz="1000" b="1" i="0" u="none" strike="noStrike" baseline="0">
                    <a:solidFill>
                      <a:srgbClr val="000000"/>
                    </a:solidFill>
                    <a:latin typeface="Arial"/>
                    <a:ea typeface="Arial"/>
                    <a:cs typeface="Arial"/>
                  </a:defRPr>
                </a:pPr>
                <a:r>
                  <a:rPr lang="pt-BR"/>
                  <a:t>Absorbância </a:t>
                </a:r>
              </a:p>
            </c:rich>
          </c:tx>
          <c:layout>
            <c:manualLayout>
              <c:xMode val="edge"/>
              <c:yMode val="edge"/>
              <c:x val="1.8593374357617078E-2"/>
              <c:y val="0.34345545130212018"/>
            </c:manualLayout>
          </c:layout>
          <c:overlay val="0"/>
          <c:spPr>
            <a:noFill/>
            <a:ln w="25400">
              <a:noFill/>
            </a:ln>
          </c:spPr>
        </c:title>
        <c:numFmt formatCode="0.00" sourceLinked="0"/>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pt-BR"/>
          </a:p>
        </c:txPr>
        <c:crossAx val="77139328"/>
        <c:crosses val="autoZero"/>
        <c:crossBetween val="midCat"/>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pt-BR"/>
    </a:p>
  </c:txPr>
  <c:printSettings>
    <c:headerFooter alignWithMargins="0"/>
    <c:pageMargins b="0.98425196899999978" l="0.78740157499999996" r="0.78740157499999996" t="0.98425196899999978" header="0.5" footer="0.5"/>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b="1"/>
              <a:t>Pico 9</a:t>
            </a:r>
            <a:r>
              <a:rPr lang="en-US" sz="1100" b="1" baseline="0"/>
              <a:t>  -  459,9 nm</a:t>
            </a:r>
            <a:endParaRPr lang="en-US" sz="1100" b="1"/>
          </a:p>
        </c:rich>
      </c:tx>
      <c:layout>
        <c:manualLayout>
          <c:xMode val="edge"/>
          <c:yMode val="edge"/>
          <c:x val="0.57053261836499192"/>
          <c:y val="0.11204207907746469"/>
        </c:manualLayout>
      </c:layout>
      <c:overlay val="0"/>
    </c:title>
    <c:autoTitleDeleted val="0"/>
    <c:plotArea>
      <c:layout>
        <c:manualLayout>
          <c:layoutTarget val="inner"/>
          <c:xMode val="edge"/>
          <c:yMode val="edge"/>
          <c:x val="8.0268029014303494E-2"/>
          <c:y val="7.0363764770367571E-2"/>
          <c:w val="0.81675531869566498"/>
          <c:h val="0.74801061007957614"/>
        </c:manualLayout>
      </c:layout>
      <c:scatterChart>
        <c:scatterStyle val="smoothMarker"/>
        <c:varyColors val="0"/>
        <c:ser>
          <c:idx val="0"/>
          <c:order val="0"/>
          <c:tx>
            <c:v>Pico 9</c:v>
          </c:tx>
          <c:spPr>
            <a:ln w="12700">
              <a:solidFill>
                <a:srgbClr val="000080"/>
              </a:solidFill>
              <a:prstDash val="solid"/>
            </a:ln>
          </c:spPr>
          <c:marker>
            <c:symbol val="none"/>
          </c:marker>
          <c:xVal>
            <c:numRef>
              <c:f>'Registro Tratado'!$AD$2146:$AD$2266</c:f>
              <c:numCache>
                <c:formatCode>0.0</c:formatCode>
                <c:ptCount val="121"/>
                <c:pt idx="0">
                  <c:v>465.9</c:v>
                </c:pt>
                <c:pt idx="1">
                  <c:v>465.8</c:v>
                </c:pt>
                <c:pt idx="2">
                  <c:v>465.7</c:v>
                </c:pt>
                <c:pt idx="3">
                  <c:v>465.6</c:v>
                </c:pt>
                <c:pt idx="4">
                  <c:v>465.5</c:v>
                </c:pt>
                <c:pt idx="5">
                  <c:v>465.4</c:v>
                </c:pt>
                <c:pt idx="6">
                  <c:v>465.3</c:v>
                </c:pt>
                <c:pt idx="7">
                  <c:v>465.2</c:v>
                </c:pt>
                <c:pt idx="8">
                  <c:v>465.1</c:v>
                </c:pt>
                <c:pt idx="9">
                  <c:v>465</c:v>
                </c:pt>
                <c:pt idx="10">
                  <c:v>464.9</c:v>
                </c:pt>
                <c:pt idx="11">
                  <c:v>464.8</c:v>
                </c:pt>
                <c:pt idx="12">
                  <c:v>464.7</c:v>
                </c:pt>
                <c:pt idx="13">
                  <c:v>464.6</c:v>
                </c:pt>
                <c:pt idx="14">
                  <c:v>464.5</c:v>
                </c:pt>
                <c:pt idx="15">
                  <c:v>464.4</c:v>
                </c:pt>
                <c:pt idx="16">
                  <c:v>464.3</c:v>
                </c:pt>
                <c:pt idx="17">
                  <c:v>464.2</c:v>
                </c:pt>
                <c:pt idx="18">
                  <c:v>464.1</c:v>
                </c:pt>
                <c:pt idx="19">
                  <c:v>464</c:v>
                </c:pt>
                <c:pt idx="20">
                  <c:v>463.9</c:v>
                </c:pt>
                <c:pt idx="21">
                  <c:v>463.8</c:v>
                </c:pt>
                <c:pt idx="22">
                  <c:v>463.7</c:v>
                </c:pt>
                <c:pt idx="23">
                  <c:v>463.6</c:v>
                </c:pt>
                <c:pt idx="24">
                  <c:v>463.5</c:v>
                </c:pt>
                <c:pt idx="25">
                  <c:v>463.4</c:v>
                </c:pt>
                <c:pt idx="26">
                  <c:v>463.3</c:v>
                </c:pt>
                <c:pt idx="27">
                  <c:v>463.2</c:v>
                </c:pt>
                <c:pt idx="28">
                  <c:v>463.1</c:v>
                </c:pt>
                <c:pt idx="29">
                  <c:v>463</c:v>
                </c:pt>
                <c:pt idx="30">
                  <c:v>462.9</c:v>
                </c:pt>
                <c:pt idx="31">
                  <c:v>462.8</c:v>
                </c:pt>
                <c:pt idx="32">
                  <c:v>462.7</c:v>
                </c:pt>
                <c:pt idx="33">
                  <c:v>462.6</c:v>
                </c:pt>
                <c:pt idx="34">
                  <c:v>462.5</c:v>
                </c:pt>
                <c:pt idx="35">
                  <c:v>462.4</c:v>
                </c:pt>
                <c:pt idx="36">
                  <c:v>462.3</c:v>
                </c:pt>
                <c:pt idx="37">
                  <c:v>462.2</c:v>
                </c:pt>
                <c:pt idx="38">
                  <c:v>462.1</c:v>
                </c:pt>
                <c:pt idx="39">
                  <c:v>462</c:v>
                </c:pt>
                <c:pt idx="40">
                  <c:v>461.9</c:v>
                </c:pt>
                <c:pt idx="41">
                  <c:v>461.8</c:v>
                </c:pt>
                <c:pt idx="42">
                  <c:v>461.7</c:v>
                </c:pt>
                <c:pt idx="43">
                  <c:v>461.6</c:v>
                </c:pt>
                <c:pt idx="44">
                  <c:v>461.5</c:v>
                </c:pt>
                <c:pt idx="45">
                  <c:v>461.4</c:v>
                </c:pt>
                <c:pt idx="46">
                  <c:v>461.3</c:v>
                </c:pt>
                <c:pt idx="47">
                  <c:v>461.2</c:v>
                </c:pt>
                <c:pt idx="48">
                  <c:v>461.1</c:v>
                </c:pt>
                <c:pt idx="49">
                  <c:v>461</c:v>
                </c:pt>
                <c:pt idx="50">
                  <c:v>460.9</c:v>
                </c:pt>
                <c:pt idx="51">
                  <c:v>460.8</c:v>
                </c:pt>
                <c:pt idx="52">
                  <c:v>460.7</c:v>
                </c:pt>
                <c:pt idx="53">
                  <c:v>460.6</c:v>
                </c:pt>
                <c:pt idx="54">
                  <c:v>460.5</c:v>
                </c:pt>
                <c:pt idx="55">
                  <c:v>460.4</c:v>
                </c:pt>
                <c:pt idx="56">
                  <c:v>460.3</c:v>
                </c:pt>
                <c:pt idx="57">
                  <c:v>460.2</c:v>
                </c:pt>
                <c:pt idx="58">
                  <c:v>460.1</c:v>
                </c:pt>
                <c:pt idx="59">
                  <c:v>460</c:v>
                </c:pt>
                <c:pt idx="60">
                  <c:v>459.9</c:v>
                </c:pt>
                <c:pt idx="61">
                  <c:v>459.8</c:v>
                </c:pt>
                <c:pt idx="62">
                  <c:v>459.7</c:v>
                </c:pt>
                <c:pt idx="63">
                  <c:v>459.6</c:v>
                </c:pt>
                <c:pt idx="64">
                  <c:v>459.5</c:v>
                </c:pt>
                <c:pt idx="65">
                  <c:v>459.4</c:v>
                </c:pt>
                <c:pt idx="66">
                  <c:v>459.3</c:v>
                </c:pt>
                <c:pt idx="67">
                  <c:v>459.2</c:v>
                </c:pt>
                <c:pt idx="68">
                  <c:v>459.1</c:v>
                </c:pt>
                <c:pt idx="69">
                  <c:v>459</c:v>
                </c:pt>
                <c:pt idx="70">
                  <c:v>458.9</c:v>
                </c:pt>
                <c:pt idx="71">
                  <c:v>458.8</c:v>
                </c:pt>
                <c:pt idx="72">
                  <c:v>458.7</c:v>
                </c:pt>
                <c:pt idx="73">
                  <c:v>458.6</c:v>
                </c:pt>
                <c:pt idx="74">
                  <c:v>458.5</c:v>
                </c:pt>
                <c:pt idx="75">
                  <c:v>458.4</c:v>
                </c:pt>
                <c:pt idx="76">
                  <c:v>458.3</c:v>
                </c:pt>
                <c:pt idx="77">
                  <c:v>458.2</c:v>
                </c:pt>
                <c:pt idx="78">
                  <c:v>458.1</c:v>
                </c:pt>
                <c:pt idx="79">
                  <c:v>458</c:v>
                </c:pt>
                <c:pt idx="80">
                  <c:v>457.9</c:v>
                </c:pt>
                <c:pt idx="81">
                  <c:v>457.8</c:v>
                </c:pt>
                <c:pt idx="82">
                  <c:v>457.7</c:v>
                </c:pt>
                <c:pt idx="83">
                  <c:v>457.6</c:v>
                </c:pt>
                <c:pt idx="84">
                  <c:v>457.5</c:v>
                </c:pt>
                <c:pt idx="85">
                  <c:v>457.4</c:v>
                </c:pt>
                <c:pt idx="86">
                  <c:v>457.3</c:v>
                </c:pt>
                <c:pt idx="87">
                  <c:v>457.2</c:v>
                </c:pt>
                <c:pt idx="88">
                  <c:v>457.1</c:v>
                </c:pt>
                <c:pt idx="89">
                  <c:v>457</c:v>
                </c:pt>
                <c:pt idx="90">
                  <c:v>456.9</c:v>
                </c:pt>
                <c:pt idx="91">
                  <c:v>456.8</c:v>
                </c:pt>
                <c:pt idx="92">
                  <c:v>456.7</c:v>
                </c:pt>
                <c:pt idx="93">
                  <c:v>456.6</c:v>
                </c:pt>
                <c:pt idx="94">
                  <c:v>456.5</c:v>
                </c:pt>
                <c:pt idx="95">
                  <c:v>456.4</c:v>
                </c:pt>
                <c:pt idx="96">
                  <c:v>456.3</c:v>
                </c:pt>
                <c:pt idx="97">
                  <c:v>456.2</c:v>
                </c:pt>
                <c:pt idx="98">
                  <c:v>456.1</c:v>
                </c:pt>
                <c:pt idx="99">
                  <c:v>456</c:v>
                </c:pt>
                <c:pt idx="100">
                  <c:v>455.9</c:v>
                </c:pt>
                <c:pt idx="101">
                  <c:v>455.8</c:v>
                </c:pt>
                <c:pt idx="102">
                  <c:v>455.7</c:v>
                </c:pt>
                <c:pt idx="103">
                  <c:v>455.6</c:v>
                </c:pt>
                <c:pt idx="104">
                  <c:v>455.5</c:v>
                </c:pt>
                <c:pt idx="105">
                  <c:v>455.4</c:v>
                </c:pt>
                <c:pt idx="106">
                  <c:v>455.3</c:v>
                </c:pt>
                <c:pt idx="107">
                  <c:v>455.2</c:v>
                </c:pt>
                <c:pt idx="108">
                  <c:v>455.1</c:v>
                </c:pt>
                <c:pt idx="109">
                  <c:v>455</c:v>
                </c:pt>
                <c:pt idx="110">
                  <c:v>454.9</c:v>
                </c:pt>
                <c:pt idx="111">
                  <c:v>454.8</c:v>
                </c:pt>
                <c:pt idx="112">
                  <c:v>454.7</c:v>
                </c:pt>
                <c:pt idx="113">
                  <c:v>454.6</c:v>
                </c:pt>
                <c:pt idx="114">
                  <c:v>454.5</c:v>
                </c:pt>
                <c:pt idx="115">
                  <c:v>454.4</c:v>
                </c:pt>
                <c:pt idx="116">
                  <c:v>454.3</c:v>
                </c:pt>
                <c:pt idx="117">
                  <c:v>454.2</c:v>
                </c:pt>
                <c:pt idx="118">
                  <c:v>454.1</c:v>
                </c:pt>
                <c:pt idx="119">
                  <c:v>454</c:v>
                </c:pt>
                <c:pt idx="120">
                  <c:v>453.9</c:v>
                </c:pt>
              </c:numCache>
            </c:numRef>
          </c:xVal>
          <c:yVal>
            <c:numRef>
              <c:f>'Registro Tratado'!$AF$2146:$AF$2266</c:f>
              <c:numCache>
                <c:formatCode>0.0000</c:formatCode>
                <c:ptCount val="121"/>
                <c:pt idx="0">
                  <c:v>0.22520575826088388</c:v>
                </c:pt>
                <c:pt idx="1">
                  <c:v>0.23122874539028607</c:v>
                </c:pt>
                <c:pt idx="2">
                  <c:v>0.238049620928346</c:v>
                </c:pt>
                <c:pt idx="3">
                  <c:v>0.24591170713324578</c:v>
                </c:pt>
                <c:pt idx="4">
                  <c:v>0.25440218301410533</c:v>
                </c:pt>
                <c:pt idx="5">
                  <c:v>0.26429732909265202</c:v>
                </c:pt>
                <c:pt idx="6">
                  <c:v>0.27500363565573333</c:v>
                </c:pt>
                <c:pt idx="7">
                  <c:v>0.28738396591665633</c:v>
                </c:pt>
                <c:pt idx="8">
                  <c:v>0.299789686243979</c:v>
                </c:pt>
                <c:pt idx="9">
                  <c:v>0.31357825012063245</c:v>
                </c:pt>
                <c:pt idx="10">
                  <c:v>0.32836440339787026</c:v>
                </c:pt>
                <c:pt idx="11">
                  <c:v>0.34459261650277018</c:v>
                </c:pt>
                <c:pt idx="12">
                  <c:v>0.36198023444042254</c:v>
                </c:pt>
                <c:pt idx="13">
                  <c:v>0.37913552473487888</c:v>
                </c:pt>
                <c:pt idx="14">
                  <c:v>0.39775547272833967</c:v>
                </c:pt>
                <c:pt idx="15">
                  <c:v>0.41724368332057776</c:v>
                </c:pt>
                <c:pt idx="16">
                  <c:v>0.4374811232633683</c:v>
                </c:pt>
                <c:pt idx="17">
                  <c:v>0.45898270715434314</c:v>
                </c:pt>
                <c:pt idx="18">
                  <c:v>0.47954266982833738</c:v>
                </c:pt>
                <c:pt idx="19">
                  <c:v>0.50208945703651231</c:v>
                </c:pt>
                <c:pt idx="20">
                  <c:v>0.52383524567717465</c:v>
                </c:pt>
                <c:pt idx="21">
                  <c:v>0.54645233961925088</c:v>
                </c:pt>
                <c:pt idx="22">
                  <c:v>0.56728719487461321</c:v>
                </c:pt>
                <c:pt idx="23">
                  <c:v>0.58801012321114066</c:v>
                </c:pt>
                <c:pt idx="24">
                  <c:v>0.60982468977132964</c:v>
                </c:pt>
                <c:pt idx="25">
                  <c:v>0.63165732067577618</c:v>
                </c:pt>
                <c:pt idx="26">
                  <c:v>0.65155883272163884</c:v>
                </c:pt>
                <c:pt idx="27">
                  <c:v>0.6706021206389573</c:v>
                </c:pt>
                <c:pt idx="28">
                  <c:v>0.68924298164739584</c:v>
                </c:pt>
                <c:pt idx="29">
                  <c:v>0.70725672862292932</c:v>
                </c:pt>
                <c:pt idx="30">
                  <c:v>0.72459649725459563</c:v>
                </c:pt>
                <c:pt idx="31">
                  <c:v>0.74083632865978344</c:v>
                </c:pt>
                <c:pt idx="32">
                  <c:v>0.75678826825524059</c:v>
                </c:pt>
                <c:pt idx="33">
                  <c:v>0.77242177970039994</c:v>
                </c:pt>
                <c:pt idx="34">
                  <c:v>0.78789233445234108</c:v>
                </c:pt>
                <c:pt idx="35">
                  <c:v>0.80219584682659029</c:v>
                </c:pt>
                <c:pt idx="36">
                  <c:v>0.81707203076300761</c:v>
                </c:pt>
                <c:pt idx="37">
                  <c:v>0.83259404276770799</c:v>
                </c:pt>
                <c:pt idx="38">
                  <c:v>0.84958130552070188</c:v>
                </c:pt>
                <c:pt idx="39">
                  <c:v>0.86690838974529183</c:v>
                </c:pt>
                <c:pt idx="40">
                  <c:v>0.88532230898912212</c:v>
                </c:pt>
                <c:pt idx="41">
                  <c:v>0.90486553306016315</c:v>
                </c:pt>
                <c:pt idx="42">
                  <c:v>0.92576886197967434</c:v>
                </c:pt>
                <c:pt idx="43">
                  <c:v>0.94911778933597057</c:v>
                </c:pt>
                <c:pt idx="44">
                  <c:v>0.97403909014362089</c:v>
                </c:pt>
                <c:pt idx="45">
                  <c:v>1.0002606548934321</c:v>
                </c:pt>
                <c:pt idx="46">
                  <c:v>1.0278573558590627</c:v>
                </c:pt>
                <c:pt idx="47">
                  <c:v>1.0569360347997729</c:v>
                </c:pt>
                <c:pt idx="48">
                  <c:v>1.086382153984832</c:v>
                </c:pt>
                <c:pt idx="49">
                  <c:v>1.1150800844395505</c:v>
                </c:pt>
                <c:pt idx="50">
                  <c:v>1.1437001797522086</c:v>
                </c:pt>
                <c:pt idx="51">
                  <c:v>1.1714045436282976</c:v>
                </c:pt>
                <c:pt idx="52">
                  <c:v>1.1979655461415468</c:v>
                </c:pt>
                <c:pt idx="53">
                  <c:v>1.2216027191120056</c:v>
                </c:pt>
                <c:pt idx="54">
                  <c:v>1.2404076913540252</c:v>
                </c:pt>
                <c:pt idx="55">
                  <c:v>1.2567725400258052</c:v>
                </c:pt>
                <c:pt idx="56">
                  <c:v>1.268379006362955</c:v>
                </c:pt>
                <c:pt idx="57">
                  <c:v>1.276667491310699</c:v>
                </c:pt>
                <c:pt idx="58">
                  <c:v>1.2799317011624916</c:v>
                </c:pt>
                <c:pt idx="59">
                  <c:v>1.2789399532609942</c:v>
                </c:pt>
                <c:pt idx="60">
                  <c:v>1.2731994641371116</c:v>
                </c:pt>
                <c:pt idx="61">
                  <c:v>1.2633645023131788</c:v>
                </c:pt>
                <c:pt idx="62">
                  <c:v>1.2504414569862348</c:v>
                </c:pt>
                <c:pt idx="63">
                  <c:v>1.2336020262409779</c:v>
                </c:pt>
                <c:pt idx="64">
                  <c:v>1.2133266443361292</c:v>
                </c:pt>
                <c:pt idx="65">
                  <c:v>1.1882373765516856</c:v>
                </c:pt>
                <c:pt idx="66">
                  <c:v>1.1606979686878076</c:v>
                </c:pt>
                <c:pt idx="67">
                  <c:v>1.1300528708258151</c:v>
                </c:pt>
                <c:pt idx="68">
                  <c:v>1.099627408554215</c:v>
                </c:pt>
                <c:pt idx="69">
                  <c:v>1.0657995972200096</c:v>
                </c:pt>
                <c:pt idx="70">
                  <c:v>1.0303791042991852</c:v>
                </c:pt>
                <c:pt idx="71">
                  <c:v>0.99310629205209955</c:v>
                </c:pt>
                <c:pt idx="72">
                  <c:v>0.9556954808240854</c:v>
                </c:pt>
                <c:pt idx="73">
                  <c:v>0.91840068726706381</c:v>
                </c:pt>
                <c:pt idx="74">
                  <c:v>0.88176835167297263</c:v>
                </c:pt>
                <c:pt idx="75">
                  <c:v>0.84487660628928773</c:v>
                </c:pt>
                <c:pt idx="76">
                  <c:v>0.81045354326107355</c:v>
                </c:pt>
                <c:pt idx="77">
                  <c:v>0.77759570891754437</c:v>
                </c:pt>
                <c:pt idx="78">
                  <c:v>0.74666199467389349</c:v>
                </c:pt>
                <c:pt idx="79">
                  <c:v>0.71735523281026059</c:v>
                </c:pt>
                <c:pt idx="80">
                  <c:v>0.68975289157171749</c:v>
                </c:pt>
                <c:pt idx="81">
                  <c:v>0.66548593435943615</c:v>
                </c:pt>
                <c:pt idx="82">
                  <c:v>0.64470176478883134</c:v>
                </c:pt>
                <c:pt idx="83">
                  <c:v>0.62545327206104073</c:v>
                </c:pt>
                <c:pt idx="84">
                  <c:v>0.60858848961438849</c:v>
                </c:pt>
                <c:pt idx="85">
                  <c:v>0.5948586246370503</c:v>
                </c:pt>
                <c:pt idx="86">
                  <c:v>0.5839256090776056</c:v>
                </c:pt>
                <c:pt idx="87">
                  <c:v>0.57503673673925881</c:v>
                </c:pt>
                <c:pt idx="88">
                  <c:v>0.56865232111970132</c:v>
                </c:pt>
                <c:pt idx="89">
                  <c:v>0.56507997035033963</c:v>
                </c:pt>
                <c:pt idx="90">
                  <c:v>0.56410787698434617</c:v>
                </c:pt>
                <c:pt idx="91">
                  <c:v>0.56543109596580121</c:v>
                </c:pt>
                <c:pt idx="92">
                  <c:v>0.56879711544348344</c:v>
                </c:pt>
                <c:pt idx="93">
                  <c:v>0.57451468929196825</c:v>
                </c:pt>
                <c:pt idx="94">
                  <c:v>0.58153297905339951</c:v>
                </c:pt>
                <c:pt idx="95">
                  <c:v>0.59064181006983485</c:v>
                </c:pt>
                <c:pt idx="96">
                  <c:v>0.60114026159573886</c:v>
                </c:pt>
                <c:pt idx="97">
                  <c:v>0.61394715105961051</c:v>
                </c:pt>
                <c:pt idx="98">
                  <c:v>0.62830425088229103</c:v>
                </c:pt>
                <c:pt idx="99">
                  <c:v>0.64305678041987002</c:v>
                </c:pt>
                <c:pt idx="100">
                  <c:v>0.65935762243929474</c:v>
                </c:pt>
                <c:pt idx="101">
                  <c:v>0.67722268529679319</c:v>
                </c:pt>
                <c:pt idx="102">
                  <c:v>0.6961130782748981</c:v>
                </c:pt>
                <c:pt idx="103">
                  <c:v>0.71602071576152015</c:v>
                </c:pt>
                <c:pt idx="104">
                  <c:v>0.7366717150137696</c:v>
                </c:pt>
                <c:pt idx="105">
                  <c:v>0.75835392199861118</c:v>
                </c:pt>
                <c:pt idx="106">
                  <c:v>0.78188481369545149</c:v>
                </c:pt>
                <c:pt idx="107">
                  <c:v>0.80579102035331851</c:v>
                </c:pt>
                <c:pt idx="108">
                  <c:v>0.82739706879014008</c:v>
                </c:pt>
                <c:pt idx="109">
                  <c:v>0.85343788684244337</c:v>
                </c:pt>
                <c:pt idx="110">
                  <c:v>0.87729274568165194</c:v>
                </c:pt>
                <c:pt idx="111">
                  <c:v>0.90378541465359474</c:v>
                </c:pt>
                <c:pt idx="112">
                  <c:v>0.92885470954891725</c:v>
                </c:pt>
                <c:pt idx="113">
                  <c:v>0.95381710925911845</c:v>
                </c:pt>
                <c:pt idx="114">
                  <c:v>0.97893480279743117</c:v>
                </c:pt>
                <c:pt idx="115">
                  <c:v>1.0033307495684922</c:v>
                </c:pt>
                <c:pt idx="116">
                  <c:v>1.026571940168969</c:v>
                </c:pt>
                <c:pt idx="117">
                  <c:v>1.0485799050931466</c:v>
                </c:pt>
                <c:pt idx="118">
                  <c:v>1.0688371836142041</c:v>
                </c:pt>
                <c:pt idx="119">
                  <c:v>1.0871086784510229</c:v>
                </c:pt>
                <c:pt idx="120">
                  <c:v>1.1022684706964598</c:v>
                </c:pt>
              </c:numCache>
            </c:numRef>
          </c:yVal>
          <c:smooth val="1"/>
          <c:extLst>
            <c:ext xmlns:c16="http://schemas.microsoft.com/office/drawing/2014/chart" uri="{C3380CC4-5D6E-409C-BE32-E72D297353CC}">
              <c16:uniqueId val="{00000000-AE3F-40FD-BE6D-1B06BAEE9CED}"/>
            </c:ext>
          </c:extLst>
        </c:ser>
        <c:ser>
          <c:idx val="1"/>
          <c:order val="1"/>
          <c:tx>
            <c:v>Pico 9 - CAL1</c:v>
          </c:tx>
          <c:spPr>
            <a:ln>
              <a:solidFill>
                <a:srgbClr val="FF0000"/>
              </a:solidFill>
            </a:ln>
          </c:spPr>
          <c:marker>
            <c:symbol val="none"/>
          </c:marker>
          <c:trendline>
            <c:trendlineType val="poly"/>
            <c:order val="5"/>
            <c:dispRSqr val="1"/>
            <c:dispEq val="1"/>
            <c:trendlineLbl>
              <c:layout>
                <c:manualLayout>
                  <c:x val="0.10735484743549686"/>
                  <c:y val="-0.30922830429328863"/>
                </c:manualLayout>
              </c:layout>
              <c:numFmt formatCode="0.000000000000000E+00" sourceLinked="0"/>
            </c:trendlineLbl>
          </c:trendline>
          <c:xVal>
            <c:numRef>
              <c:f>'Registro Tratado'!$B$112:$B$116</c:f>
              <c:numCache>
                <c:formatCode>0.0</c:formatCode>
                <c:ptCount val="5"/>
                <c:pt idx="0">
                  <c:v>462</c:v>
                </c:pt>
                <c:pt idx="1">
                  <c:v>461</c:v>
                </c:pt>
                <c:pt idx="2">
                  <c:v>460</c:v>
                </c:pt>
                <c:pt idx="3">
                  <c:v>459</c:v>
                </c:pt>
                <c:pt idx="4">
                  <c:v>458</c:v>
                </c:pt>
              </c:numCache>
            </c:numRef>
          </c:xVal>
          <c:yVal>
            <c:numRef>
              <c:f>'Registro Tratado'!$C$112:$C$116</c:f>
              <c:numCache>
                <c:formatCode>0.000</c:formatCode>
                <c:ptCount val="5"/>
                <c:pt idx="0">
                  <c:v>0.623</c:v>
                </c:pt>
                <c:pt idx="1">
                  <c:v>0.68700000000000006</c:v>
                </c:pt>
                <c:pt idx="2">
                  <c:v>0.69099999999999995</c:v>
                </c:pt>
                <c:pt idx="3">
                  <c:v>0.64400000000000002</c:v>
                </c:pt>
                <c:pt idx="4">
                  <c:v>0.59699999999999998</c:v>
                </c:pt>
              </c:numCache>
            </c:numRef>
          </c:yVal>
          <c:smooth val="1"/>
          <c:extLst>
            <c:ext xmlns:c16="http://schemas.microsoft.com/office/drawing/2014/chart" uri="{C3380CC4-5D6E-409C-BE32-E72D297353CC}">
              <c16:uniqueId val="{00000001-AE3F-40FD-BE6D-1B06BAEE9CED}"/>
            </c:ext>
          </c:extLst>
        </c:ser>
        <c:ser>
          <c:idx val="2"/>
          <c:order val="2"/>
          <c:tx>
            <c:v>Pico 9 - Largura de banda</c:v>
          </c:tx>
          <c:spPr>
            <a:ln w="15875">
              <a:solidFill>
                <a:srgbClr val="FFC000"/>
              </a:solidFill>
            </a:ln>
          </c:spPr>
          <c:marker>
            <c:symbol val="none"/>
          </c:marker>
          <c:xVal>
            <c:numRef>
              <c:f>'Registro Tratado'!$AH$104:$CP$104</c:f>
              <c:numCache>
                <c:formatCode>General</c:formatCode>
                <c:ptCount val="61"/>
                <c:pt idx="0">
                  <c:v>453.9</c:v>
                </c:pt>
                <c:pt idx="1">
                  <c:v>454.09999999999997</c:v>
                </c:pt>
                <c:pt idx="2">
                  <c:v>454.29999999999995</c:v>
                </c:pt>
                <c:pt idx="3">
                  <c:v>454.49999999999994</c:v>
                </c:pt>
                <c:pt idx="4">
                  <c:v>454.69999999999993</c:v>
                </c:pt>
                <c:pt idx="5">
                  <c:v>454.89999999999992</c:v>
                </c:pt>
                <c:pt idx="6">
                  <c:v>455.09999999999991</c:v>
                </c:pt>
                <c:pt idx="7">
                  <c:v>455.2999999999999</c:v>
                </c:pt>
                <c:pt idx="8">
                  <c:v>455.49999999999989</c:v>
                </c:pt>
                <c:pt idx="9">
                  <c:v>455.69999999999987</c:v>
                </c:pt>
                <c:pt idx="10">
                  <c:v>455.89999999999986</c:v>
                </c:pt>
                <c:pt idx="11">
                  <c:v>456.09999999999985</c:v>
                </c:pt>
                <c:pt idx="12">
                  <c:v>456.29999999999984</c:v>
                </c:pt>
                <c:pt idx="13">
                  <c:v>456.49999999999983</c:v>
                </c:pt>
                <c:pt idx="14">
                  <c:v>456.69999999999982</c:v>
                </c:pt>
                <c:pt idx="15">
                  <c:v>456.89999999999981</c:v>
                </c:pt>
                <c:pt idx="16">
                  <c:v>457.0999999999998</c:v>
                </c:pt>
                <c:pt idx="17">
                  <c:v>457.29999999999978</c:v>
                </c:pt>
                <c:pt idx="18">
                  <c:v>457.49999999999977</c:v>
                </c:pt>
                <c:pt idx="19">
                  <c:v>457.69999999999976</c:v>
                </c:pt>
                <c:pt idx="20">
                  <c:v>457.89999999999975</c:v>
                </c:pt>
                <c:pt idx="21">
                  <c:v>458.09999999999974</c:v>
                </c:pt>
                <c:pt idx="22">
                  <c:v>458.29999999999973</c:v>
                </c:pt>
                <c:pt idx="23">
                  <c:v>458.49999999999972</c:v>
                </c:pt>
                <c:pt idx="24">
                  <c:v>458.6999999999997</c:v>
                </c:pt>
                <c:pt idx="25">
                  <c:v>458.89999999999969</c:v>
                </c:pt>
                <c:pt idx="26">
                  <c:v>459.09999999999968</c:v>
                </c:pt>
                <c:pt idx="27">
                  <c:v>459.29999999999967</c:v>
                </c:pt>
                <c:pt idx="28">
                  <c:v>459.49999999999966</c:v>
                </c:pt>
                <c:pt idx="29">
                  <c:v>459.69999999999965</c:v>
                </c:pt>
                <c:pt idx="30">
                  <c:v>459.89999999999964</c:v>
                </c:pt>
                <c:pt idx="31">
                  <c:v>460.09999999999962</c:v>
                </c:pt>
                <c:pt idx="32">
                  <c:v>460.29999999999961</c:v>
                </c:pt>
                <c:pt idx="33">
                  <c:v>460.4999999999996</c:v>
                </c:pt>
                <c:pt idx="34">
                  <c:v>460.69999999999959</c:v>
                </c:pt>
                <c:pt idx="35">
                  <c:v>460.89999999999958</c:v>
                </c:pt>
                <c:pt idx="36">
                  <c:v>461.09999999999957</c:v>
                </c:pt>
                <c:pt idx="37">
                  <c:v>461.29999999999956</c:v>
                </c:pt>
                <c:pt idx="38">
                  <c:v>461.49999999999955</c:v>
                </c:pt>
                <c:pt idx="39">
                  <c:v>461.69999999999953</c:v>
                </c:pt>
                <c:pt idx="40">
                  <c:v>461.89999999999952</c:v>
                </c:pt>
                <c:pt idx="41">
                  <c:v>462.09999999999951</c:v>
                </c:pt>
                <c:pt idx="42">
                  <c:v>462.2999999999995</c:v>
                </c:pt>
                <c:pt idx="43">
                  <c:v>462.49999999999949</c:v>
                </c:pt>
                <c:pt idx="44">
                  <c:v>462.69999999999948</c:v>
                </c:pt>
                <c:pt idx="45">
                  <c:v>462.89999999999947</c:v>
                </c:pt>
                <c:pt idx="46">
                  <c:v>463.09999999999945</c:v>
                </c:pt>
                <c:pt idx="47">
                  <c:v>463.29999999999944</c:v>
                </c:pt>
                <c:pt idx="48">
                  <c:v>463.49999999999943</c:v>
                </c:pt>
                <c:pt idx="49">
                  <c:v>463.69999999999942</c:v>
                </c:pt>
                <c:pt idx="50">
                  <c:v>463.89999999999941</c:v>
                </c:pt>
                <c:pt idx="51">
                  <c:v>464.0999999999994</c:v>
                </c:pt>
                <c:pt idx="52">
                  <c:v>464.29999999999939</c:v>
                </c:pt>
                <c:pt idx="53">
                  <c:v>464.49999999999937</c:v>
                </c:pt>
                <c:pt idx="54">
                  <c:v>464.69999999999936</c:v>
                </c:pt>
                <c:pt idx="55">
                  <c:v>464.89999999999935</c:v>
                </c:pt>
                <c:pt idx="56">
                  <c:v>465.09999999999934</c:v>
                </c:pt>
                <c:pt idx="57">
                  <c:v>465.29999999999933</c:v>
                </c:pt>
                <c:pt idx="58">
                  <c:v>465.49999999999932</c:v>
                </c:pt>
                <c:pt idx="59">
                  <c:v>465.69999999999931</c:v>
                </c:pt>
                <c:pt idx="60">
                  <c:v>465.8999999999993</c:v>
                </c:pt>
              </c:numCache>
            </c:numRef>
          </c:xVal>
          <c:yVal>
            <c:numRef>
              <c:f>'Registro Tratado'!$AH$105:$CP$105</c:f>
              <c:numCache>
                <c:formatCode>General</c:formatCode>
                <c:ptCount val="61"/>
                <c:pt idx="0" formatCode="0.0000">
                  <c:v>0.92200000000000004</c:v>
                </c:pt>
                <c:pt idx="1">
                  <c:v>0.92200000000000004</c:v>
                </c:pt>
                <c:pt idx="2">
                  <c:v>0.92200000000000004</c:v>
                </c:pt>
                <c:pt idx="3">
                  <c:v>0.92200000000000004</c:v>
                </c:pt>
                <c:pt idx="4">
                  <c:v>0.92200000000000004</c:v>
                </c:pt>
                <c:pt idx="5">
                  <c:v>0.92200000000000004</c:v>
                </c:pt>
                <c:pt idx="6">
                  <c:v>0.92200000000000004</c:v>
                </c:pt>
                <c:pt idx="7">
                  <c:v>0.92200000000000004</c:v>
                </c:pt>
                <c:pt idx="8">
                  <c:v>0.92200000000000004</c:v>
                </c:pt>
                <c:pt idx="9">
                  <c:v>0.92200000000000004</c:v>
                </c:pt>
                <c:pt idx="10">
                  <c:v>0.92200000000000004</c:v>
                </c:pt>
                <c:pt idx="11">
                  <c:v>0.92200000000000004</c:v>
                </c:pt>
                <c:pt idx="12">
                  <c:v>0.92200000000000004</c:v>
                </c:pt>
                <c:pt idx="13">
                  <c:v>0.92200000000000004</c:v>
                </c:pt>
                <c:pt idx="14">
                  <c:v>0.92200000000000004</c:v>
                </c:pt>
                <c:pt idx="15">
                  <c:v>0.92200000000000004</c:v>
                </c:pt>
                <c:pt idx="16">
                  <c:v>0.92200000000000004</c:v>
                </c:pt>
                <c:pt idx="17">
                  <c:v>0.92200000000000004</c:v>
                </c:pt>
                <c:pt idx="18">
                  <c:v>0.92200000000000004</c:v>
                </c:pt>
                <c:pt idx="19">
                  <c:v>0.92200000000000004</c:v>
                </c:pt>
                <c:pt idx="20">
                  <c:v>0.92200000000000004</c:v>
                </c:pt>
                <c:pt idx="21">
                  <c:v>0.92200000000000004</c:v>
                </c:pt>
                <c:pt idx="22">
                  <c:v>0.92200000000000004</c:v>
                </c:pt>
                <c:pt idx="23">
                  <c:v>0.92200000000000004</c:v>
                </c:pt>
                <c:pt idx="24">
                  <c:v>0.92200000000000004</c:v>
                </c:pt>
                <c:pt idx="25">
                  <c:v>0.92200000000000004</c:v>
                </c:pt>
                <c:pt idx="26">
                  <c:v>0.92200000000000004</c:v>
                </c:pt>
                <c:pt idx="27">
                  <c:v>0.92200000000000004</c:v>
                </c:pt>
                <c:pt idx="28">
                  <c:v>0.92200000000000004</c:v>
                </c:pt>
                <c:pt idx="29">
                  <c:v>0.92200000000000004</c:v>
                </c:pt>
                <c:pt idx="30">
                  <c:v>0.92200000000000004</c:v>
                </c:pt>
                <c:pt idx="31">
                  <c:v>0.92200000000000004</c:v>
                </c:pt>
                <c:pt idx="32">
                  <c:v>0.92200000000000004</c:v>
                </c:pt>
                <c:pt idx="33">
                  <c:v>0.92200000000000004</c:v>
                </c:pt>
                <c:pt idx="34">
                  <c:v>0.92200000000000004</c:v>
                </c:pt>
                <c:pt idx="35">
                  <c:v>0.92200000000000004</c:v>
                </c:pt>
                <c:pt idx="36">
                  <c:v>0.92200000000000004</c:v>
                </c:pt>
                <c:pt idx="37">
                  <c:v>0.92200000000000004</c:v>
                </c:pt>
                <c:pt idx="38">
                  <c:v>0.92200000000000004</c:v>
                </c:pt>
                <c:pt idx="39">
                  <c:v>0.92200000000000004</c:v>
                </c:pt>
                <c:pt idx="40">
                  <c:v>0.92200000000000004</c:v>
                </c:pt>
                <c:pt idx="41">
                  <c:v>0.92200000000000004</c:v>
                </c:pt>
                <c:pt idx="42">
                  <c:v>0.92200000000000004</c:v>
                </c:pt>
                <c:pt idx="43">
                  <c:v>0.92200000000000004</c:v>
                </c:pt>
                <c:pt idx="44">
                  <c:v>0.92200000000000004</c:v>
                </c:pt>
                <c:pt idx="45">
                  <c:v>0.92200000000000004</c:v>
                </c:pt>
                <c:pt idx="46">
                  <c:v>0.92200000000000004</c:v>
                </c:pt>
                <c:pt idx="47">
                  <c:v>0.92200000000000004</c:v>
                </c:pt>
                <c:pt idx="48">
                  <c:v>0.92200000000000004</c:v>
                </c:pt>
                <c:pt idx="49">
                  <c:v>0.92200000000000004</c:v>
                </c:pt>
                <c:pt idx="50">
                  <c:v>0.92200000000000004</c:v>
                </c:pt>
                <c:pt idx="51">
                  <c:v>0.92200000000000004</c:v>
                </c:pt>
                <c:pt idx="52">
                  <c:v>0.92200000000000004</c:v>
                </c:pt>
                <c:pt idx="53">
                  <c:v>0.92200000000000004</c:v>
                </c:pt>
                <c:pt idx="54">
                  <c:v>0.92200000000000004</c:v>
                </c:pt>
                <c:pt idx="55">
                  <c:v>0.92200000000000004</c:v>
                </c:pt>
                <c:pt idx="56">
                  <c:v>0.92200000000000004</c:v>
                </c:pt>
                <c:pt idx="57">
                  <c:v>0.92200000000000004</c:v>
                </c:pt>
                <c:pt idx="58">
                  <c:v>0.92200000000000004</c:v>
                </c:pt>
                <c:pt idx="59">
                  <c:v>0.92200000000000004</c:v>
                </c:pt>
                <c:pt idx="60">
                  <c:v>0.92200000000000004</c:v>
                </c:pt>
              </c:numCache>
            </c:numRef>
          </c:yVal>
          <c:smooth val="1"/>
          <c:extLst>
            <c:ext xmlns:c16="http://schemas.microsoft.com/office/drawing/2014/chart" uri="{C3380CC4-5D6E-409C-BE32-E72D297353CC}">
              <c16:uniqueId val="{00000002-AE3F-40FD-BE6D-1B06BAEE9CED}"/>
            </c:ext>
          </c:extLst>
        </c:ser>
        <c:ser>
          <c:idx val="3"/>
          <c:order val="3"/>
          <c:tx>
            <c:v>Pico 9 - CAL2</c:v>
          </c:tx>
          <c:spPr>
            <a:ln>
              <a:solidFill>
                <a:srgbClr val="00B050"/>
              </a:solidFill>
            </a:ln>
          </c:spPr>
          <c:marker>
            <c:symbol val="none"/>
          </c:marker>
          <c:trendline>
            <c:trendlineType val="poly"/>
            <c:order val="6"/>
            <c:dispRSqr val="1"/>
            <c:dispEq val="1"/>
            <c:trendlineLbl>
              <c:layout>
                <c:manualLayout>
                  <c:x val="0.1046021590397149"/>
                  <c:y val="8.2719750392646701E-2"/>
                </c:manualLayout>
              </c:layout>
              <c:numFmt formatCode="0.000000000000000E+00" sourceLinked="0"/>
            </c:trendlineLbl>
          </c:trendline>
          <c:xVal>
            <c:numRef>
              <c:f>'Registro Tratado'!$E$112:$E$116</c:f>
              <c:numCache>
                <c:formatCode>0.0</c:formatCode>
                <c:ptCount val="5"/>
                <c:pt idx="0">
                  <c:v>461</c:v>
                </c:pt>
                <c:pt idx="1">
                  <c:v>460.5</c:v>
                </c:pt>
                <c:pt idx="2">
                  <c:v>460</c:v>
                </c:pt>
                <c:pt idx="3">
                  <c:v>459.5</c:v>
                </c:pt>
                <c:pt idx="4">
                  <c:v>459</c:v>
                </c:pt>
              </c:numCache>
            </c:numRef>
          </c:xVal>
          <c:yVal>
            <c:numRef>
              <c:f>'Registro Tratado'!$F$112:$F$116</c:f>
              <c:numCache>
                <c:formatCode>0.000</c:formatCode>
                <c:ptCount val="5"/>
                <c:pt idx="0">
                  <c:v>0.65</c:v>
                </c:pt>
                <c:pt idx="1">
                  <c:v>0.69799999999999995</c:v>
                </c:pt>
                <c:pt idx="2">
                  <c:v>0.68200000000000005</c:v>
                </c:pt>
                <c:pt idx="3">
                  <c:v>0.63</c:v>
                </c:pt>
                <c:pt idx="4">
                  <c:v>0.58699999999999997</c:v>
                </c:pt>
              </c:numCache>
            </c:numRef>
          </c:yVal>
          <c:smooth val="1"/>
          <c:extLst>
            <c:ext xmlns:c16="http://schemas.microsoft.com/office/drawing/2014/chart" uri="{C3380CC4-5D6E-409C-BE32-E72D297353CC}">
              <c16:uniqueId val="{00000003-AE3F-40FD-BE6D-1B06BAEE9CED}"/>
            </c:ext>
          </c:extLst>
        </c:ser>
        <c:dLbls>
          <c:showLegendKey val="0"/>
          <c:showVal val="0"/>
          <c:showCatName val="0"/>
          <c:showSerName val="0"/>
          <c:showPercent val="0"/>
          <c:showBubbleSize val="0"/>
        </c:dLbls>
        <c:axId val="77339264"/>
        <c:axId val="77357824"/>
      </c:scatterChart>
      <c:valAx>
        <c:axId val="77339264"/>
        <c:scaling>
          <c:orientation val="minMax"/>
          <c:max val="465.9"/>
          <c:min val="453.9"/>
        </c:scaling>
        <c:delete val="0"/>
        <c:axPos val="t"/>
        <c:title>
          <c:tx>
            <c:rich>
              <a:bodyPr/>
              <a:lstStyle/>
              <a:p>
                <a:pPr>
                  <a:defRPr sz="1000" b="1" i="0" u="none" strike="noStrike" baseline="0">
                    <a:solidFill>
                      <a:srgbClr val="000000"/>
                    </a:solidFill>
                    <a:latin typeface="Arial"/>
                    <a:ea typeface="Arial"/>
                    <a:cs typeface="Arial"/>
                  </a:defRPr>
                </a:pPr>
                <a:r>
                  <a:rPr lang="pt-BR"/>
                  <a:t>Comprimento</a:t>
                </a:r>
                <a:r>
                  <a:rPr lang="pt-BR" baseline="0"/>
                  <a:t> de Onda</a:t>
                </a:r>
                <a:r>
                  <a:rPr lang="pt-BR"/>
                  <a:t> [nm]</a:t>
                </a:r>
              </a:p>
            </c:rich>
          </c:tx>
          <c:layout>
            <c:manualLayout>
              <c:xMode val="edge"/>
              <c:yMode val="edge"/>
              <c:x val="0.43979123805746739"/>
              <c:y val="0.89920458737838493"/>
            </c:manualLayout>
          </c:layout>
          <c:overlay val="0"/>
          <c:spPr>
            <a:noFill/>
            <a:ln w="25400">
              <a:noFill/>
            </a:ln>
          </c:spPr>
        </c:title>
        <c:numFmt formatCode="0.0" sourceLinked="0"/>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pt-BR"/>
          </a:p>
        </c:txPr>
        <c:crossAx val="77357824"/>
        <c:crosses val="max"/>
        <c:crossBetween val="midCat"/>
        <c:majorUnit val="1"/>
        <c:minorUnit val="0.2"/>
      </c:valAx>
      <c:valAx>
        <c:axId val="77357824"/>
        <c:scaling>
          <c:orientation val="minMax"/>
          <c:max val="1.4"/>
          <c:min val="0.22000000000000003"/>
        </c:scaling>
        <c:delete val="0"/>
        <c:axPos val="l"/>
        <c:majorGridlines>
          <c:spPr>
            <a:ln w="3175">
              <a:solidFill>
                <a:schemeClr val="bg1">
                  <a:lumMod val="65000"/>
                </a:schemeClr>
              </a:solidFill>
              <a:prstDash val="solid"/>
            </a:ln>
          </c:spPr>
        </c:majorGridlines>
        <c:title>
          <c:tx>
            <c:rich>
              <a:bodyPr/>
              <a:lstStyle/>
              <a:p>
                <a:pPr>
                  <a:defRPr sz="1000" b="1" i="0" u="none" strike="noStrike" baseline="0">
                    <a:solidFill>
                      <a:srgbClr val="000000"/>
                    </a:solidFill>
                    <a:latin typeface="Arial"/>
                    <a:ea typeface="Arial"/>
                    <a:cs typeface="Arial"/>
                  </a:defRPr>
                </a:pPr>
                <a:r>
                  <a:rPr lang="pt-BR"/>
                  <a:t>Absorbância </a:t>
                </a:r>
              </a:p>
            </c:rich>
          </c:tx>
          <c:layout>
            <c:manualLayout>
              <c:xMode val="edge"/>
              <c:yMode val="edge"/>
              <c:x val="1.6112896695887842E-2"/>
              <c:y val="0.34345550179721523"/>
            </c:manualLayout>
          </c:layout>
          <c:overlay val="0"/>
          <c:spPr>
            <a:noFill/>
            <a:ln w="25400">
              <a:noFill/>
            </a:ln>
          </c:spPr>
        </c:title>
        <c:numFmt formatCode="0.00" sourceLinked="0"/>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pt-BR"/>
          </a:p>
        </c:txPr>
        <c:crossAx val="77339264"/>
        <c:crosses val="autoZero"/>
        <c:crossBetween val="midCat"/>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pt-BR"/>
    </a:p>
  </c:txPr>
  <c:printSettings>
    <c:headerFooter alignWithMargins="0"/>
    <c:pageMargins b="0.98425196899999978" l="0.78740157499999996" r="0.78740157499999996" t="0.98425196899999978"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b="1"/>
              <a:t>Pico 8</a:t>
            </a:r>
            <a:r>
              <a:rPr lang="en-US" sz="1100" b="1" baseline="0"/>
              <a:t>  -  453,4 nm</a:t>
            </a:r>
            <a:endParaRPr lang="en-US" sz="1100" b="1"/>
          </a:p>
        </c:rich>
      </c:tx>
      <c:layout>
        <c:manualLayout>
          <c:xMode val="edge"/>
          <c:yMode val="edge"/>
          <c:x val="0.56670496376632151"/>
          <c:y val="0.10219296587926509"/>
        </c:manualLayout>
      </c:layout>
      <c:overlay val="0"/>
    </c:title>
    <c:autoTitleDeleted val="0"/>
    <c:plotArea>
      <c:layout>
        <c:manualLayout>
          <c:layoutTarget val="inner"/>
          <c:xMode val="edge"/>
          <c:yMode val="edge"/>
          <c:x val="8.431671917914467E-2"/>
          <c:y val="4.9897952755905528E-2"/>
          <c:w val="0.81675531869566498"/>
          <c:h val="0.74801061007957614"/>
        </c:manualLayout>
      </c:layout>
      <c:scatterChart>
        <c:scatterStyle val="smoothMarker"/>
        <c:varyColors val="0"/>
        <c:ser>
          <c:idx val="0"/>
          <c:order val="0"/>
          <c:tx>
            <c:v>Pico 8</c:v>
          </c:tx>
          <c:spPr>
            <a:ln w="12700">
              <a:solidFill>
                <a:srgbClr val="000080"/>
              </a:solidFill>
              <a:prstDash val="solid"/>
            </a:ln>
          </c:spPr>
          <c:marker>
            <c:symbol val="none"/>
          </c:marker>
          <c:xVal>
            <c:numRef>
              <c:f>'Registro Tratado'!$AD$2211:$AD$2331</c:f>
              <c:numCache>
                <c:formatCode>0.0</c:formatCode>
                <c:ptCount val="121"/>
                <c:pt idx="0">
                  <c:v>459.4</c:v>
                </c:pt>
                <c:pt idx="1">
                  <c:v>459.3</c:v>
                </c:pt>
                <c:pt idx="2">
                  <c:v>459.2</c:v>
                </c:pt>
                <c:pt idx="3">
                  <c:v>459.1</c:v>
                </c:pt>
                <c:pt idx="4">
                  <c:v>459</c:v>
                </c:pt>
                <c:pt idx="5">
                  <c:v>458.9</c:v>
                </c:pt>
                <c:pt idx="6">
                  <c:v>458.8</c:v>
                </c:pt>
                <c:pt idx="7">
                  <c:v>458.7</c:v>
                </c:pt>
                <c:pt idx="8">
                  <c:v>458.6</c:v>
                </c:pt>
                <c:pt idx="9">
                  <c:v>458.5</c:v>
                </c:pt>
                <c:pt idx="10">
                  <c:v>458.4</c:v>
                </c:pt>
                <c:pt idx="11">
                  <c:v>458.3</c:v>
                </c:pt>
                <c:pt idx="12">
                  <c:v>458.2</c:v>
                </c:pt>
                <c:pt idx="13">
                  <c:v>458.1</c:v>
                </c:pt>
                <c:pt idx="14">
                  <c:v>458</c:v>
                </c:pt>
                <c:pt idx="15">
                  <c:v>457.9</c:v>
                </c:pt>
                <c:pt idx="16">
                  <c:v>457.8</c:v>
                </c:pt>
                <c:pt idx="17">
                  <c:v>457.7</c:v>
                </c:pt>
                <c:pt idx="18">
                  <c:v>457.6</c:v>
                </c:pt>
                <c:pt idx="19">
                  <c:v>457.5</c:v>
                </c:pt>
                <c:pt idx="20">
                  <c:v>457.4</c:v>
                </c:pt>
                <c:pt idx="21">
                  <c:v>457.3</c:v>
                </c:pt>
                <c:pt idx="22">
                  <c:v>457.2</c:v>
                </c:pt>
                <c:pt idx="23">
                  <c:v>457.1</c:v>
                </c:pt>
                <c:pt idx="24">
                  <c:v>457</c:v>
                </c:pt>
                <c:pt idx="25">
                  <c:v>456.9</c:v>
                </c:pt>
                <c:pt idx="26">
                  <c:v>456.8</c:v>
                </c:pt>
                <c:pt idx="27">
                  <c:v>456.7</c:v>
                </c:pt>
                <c:pt idx="28">
                  <c:v>456.6</c:v>
                </c:pt>
                <c:pt idx="29">
                  <c:v>456.5</c:v>
                </c:pt>
                <c:pt idx="30">
                  <c:v>456.4</c:v>
                </c:pt>
                <c:pt idx="31">
                  <c:v>456.3</c:v>
                </c:pt>
                <c:pt idx="32">
                  <c:v>456.2</c:v>
                </c:pt>
                <c:pt idx="33">
                  <c:v>456.1</c:v>
                </c:pt>
                <c:pt idx="34">
                  <c:v>456</c:v>
                </c:pt>
                <c:pt idx="35">
                  <c:v>455.9</c:v>
                </c:pt>
                <c:pt idx="36">
                  <c:v>455.8</c:v>
                </c:pt>
                <c:pt idx="37">
                  <c:v>455.7</c:v>
                </c:pt>
                <c:pt idx="38">
                  <c:v>455.6</c:v>
                </c:pt>
                <c:pt idx="39">
                  <c:v>455.5</c:v>
                </c:pt>
                <c:pt idx="40">
                  <c:v>455.4</c:v>
                </c:pt>
                <c:pt idx="41">
                  <c:v>455.3</c:v>
                </c:pt>
                <c:pt idx="42">
                  <c:v>455.2</c:v>
                </c:pt>
                <c:pt idx="43">
                  <c:v>455.1</c:v>
                </c:pt>
                <c:pt idx="44">
                  <c:v>455</c:v>
                </c:pt>
                <c:pt idx="45">
                  <c:v>454.9</c:v>
                </c:pt>
                <c:pt idx="46">
                  <c:v>454.8</c:v>
                </c:pt>
                <c:pt idx="47">
                  <c:v>454.7</c:v>
                </c:pt>
                <c:pt idx="48">
                  <c:v>454.6</c:v>
                </c:pt>
                <c:pt idx="49">
                  <c:v>454.5</c:v>
                </c:pt>
                <c:pt idx="50">
                  <c:v>454.4</c:v>
                </c:pt>
                <c:pt idx="51">
                  <c:v>454.3</c:v>
                </c:pt>
                <c:pt idx="52">
                  <c:v>454.2</c:v>
                </c:pt>
                <c:pt idx="53">
                  <c:v>454.1</c:v>
                </c:pt>
                <c:pt idx="54">
                  <c:v>454</c:v>
                </c:pt>
                <c:pt idx="55">
                  <c:v>453.9</c:v>
                </c:pt>
                <c:pt idx="56">
                  <c:v>453.8</c:v>
                </c:pt>
                <c:pt idx="57">
                  <c:v>453.7</c:v>
                </c:pt>
                <c:pt idx="58">
                  <c:v>453.6</c:v>
                </c:pt>
                <c:pt idx="59">
                  <c:v>453.5</c:v>
                </c:pt>
                <c:pt idx="60">
                  <c:v>453.4</c:v>
                </c:pt>
                <c:pt idx="61">
                  <c:v>453.3</c:v>
                </c:pt>
                <c:pt idx="62">
                  <c:v>453.2</c:v>
                </c:pt>
                <c:pt idx="63">
                  <c:v>453.1</c:v>
                </c:pt>
                <c:pt idx="64">
                  <c:v>453</c:v>
                </c:pt>
                <c:pt idx="65">
                  <c:v>452.9</c:v>
                </c:pt>
                <c:pt idx="66">
                  <c:v>452.8</c:v>
                </c:pt>
                <c:pt idx="67">
                  <c:v>452.7</c:v>
                </c:pt>
                <c:pt idx="68">
                  <c:v>452.6</c:v>
                </c:pt>
                <c:pt idx="69">
                  <c:v>452.5</c:v>
                </c:pt>
                <c:pt idx="70">
                  <c:v>452.4</c:v>
                </c:pt>
                <c:pt idx="71">
                  <c:v>452.3</c:v>
                </c:pt>
                <c:pt idx="72">
                  <c:v>452.2</c:v>
                </c:pt>
                <c:pt idx="73">
                  <c:v>452.1</c:v>
                </c:pt>
                <c:pt idx="74">
                  <c:v>452</c:v>
                </c:pt>
                <c:pt idx="75">
                  <c:v>451.9</c:v>
                </c:pt>
                <c:pt idx="76">
                  <c:v>451.8</c:v>
                </c:pt>
                <c:pt idx="77">
                  <c:v>451.7</c:v>
                </c:pt>
                <c:pt idx="78">
                  <c:v>451.6</c:v>
                </c:pt>
                <c:pt idx="79">
                  <c:v>451.5</c:v>
                </c:pt>
                <c:pt idx="80">
                  <c:v>451.4</c:v>
                </c:pt>
                <c:pt idx="81">
                  <c:v>451.3</c:v>
                </c:pt>
                <c:pt idx="82">
                  <c:v>451.2</c:v>
                </c:pt>
                <c:pt idx="83">
                  <c:v>451.1</c:v>
                </c:pt>
                <c:pt idx="84">
                  <c:v>451</c:v>
                </c:pt>
                <c:pt idx="85">
                  <c:v>450.9</c:v>
                </c:pt>
                <c:pt idx="86">
                  <c:v>450.8</c:v>
                </c:pt>
                <c:pt idx="87">
                  <c:v>450.7</c:v>
                </c:pt>
                <c:pt idx="88">
                  <c:v>450.6</c:v>
                </c:pt>
                <c:pt idx="89">
                  <c:v>450.5</c:v>
                </c:pt>
                <c:pt idx="90">
                  <c:v>450.4</c:v>
                </c:pt>
                <c:pt idx="91">
                  <c:v>450.3</c:v>
                </c:pt>
                <c:pt idx="92">
                  <c:v>450.2</c:v>
                </c:pt>
                <c:pt idx="93">
                  <c:v>450.1</c:v>
                </c:pt>
                <c:pt idx="94">
                  <c:v>450</c:v>
                </c:pt>
                <c:pt idx="95">
                  <c:v>449.9</c:v>
                </c:pt>
                <c:pt idx="96">
                  <c:v>449.8</c:v>
                </c:pt>
                <c:pt idx="97">
                  <c:v>449.7</c:v>
                </c:pt>
                <c:pt idx="98">
                  <c:v>449.6</c:v>
                </c:pt>
                <c:pt idx="99">
                  <c:v>449.5</c:v>
                </c:pt>
                <c:pt idx="100">
                  <c:v>449.4</c:v>
                </c:pt>
                <c:pt idx="101">
                  <c:v>449.3</c:v>
                </c:pt>
                <c:pt idx="102">
                  <c:v>449.2</c:v>
                </c:pt>
                <c:pt idx="103">
                  <c:v>449.1</c:v>
                </c:pt>
                <c:pt idx="104">
                  <c:v>449</c:v>
                </c:pt>
                <c:pt idx="105">
                  <c:v>448.9</c:v>
                </c:pt>
                <c:pt idx="106">
                  <c:v>448.8</c:v>
                </c:pt>
                <c:pt idx="107">
                  <c:v>448.7</c:v>
                </c:pt>
                <c:pt idx="108">
                  <c:v>448.6</c:v>
                </c:pt>
                <c:pt idx="109">
                  <c:v>448.5</c:v>
                </c:pt>
                <c:pt idx="110">
                  <c:v>448.4</c:v>
                </c:pt>
                <c:pt idx="111">
                  <c:v>448.3</c:v>
                </c:pt>
                <c:pt idx="112">
                  <c:v>448.2</c:v>
                </c:pt>
                <c:pt idx="113">
                  <c:v>448.1</c:v>
                </c:pt>
                <c:pt idx="114">
                  <c:v>448</c:v>
                </c:pt>
                <c:pt idx="115">
                  <c:v>447.9</c:v>
                </c:pt>
                <c:pt idx="116">
                  <c:v>447.8</c:v>
                </c:pt>
                <c:pt idx="117">
                  <c:v>447.7</c:v>
                </c:pt>
                <c:pt idx="118">
                  <c:v>447.6</c:v>
                </c:pt>
                <c:pt idx="119">
                  <c:v>447.5</c:v>
                </c:pt>
                <c:pt idx="120">
                  <c:v>447.4</c:v>
                </c:pt>
              </c:numCache>
            </c:numRef>
          </c:xVal>
          <c:yVal>
            <c:numRef>
              <c:f>'Registro Tratado'!$AF$2211:$AF$2331</c:f>
              <c:numCache>
                <c:formatCode>0.0000</c:formatCode>
                <c:ptCount val="121"/>
                <c:pt idx="0">
                  <c:v>1.1882373765516856</c:v>
                </c:pt>
                <c:pt idx="1">
                  <c:v>1.1606979686878076</c:v>
                </c:pt>
                <c:pt idx="2">
                  <c:v>1.1300528708258151</c:v>
                </c:pt>
                <c:pt idx="3">
                  <c:v>1.099627408554215</c:v>
                </c:pt>
                <c:pt idx="4">
                  <c:v>1.0657995972200096</c:v>
                </c:pt>
                <c:pt idx="5">
                  <c:v>1.0303791042991852</c:v>
                </c:pt>
                <c:pt idx="6">
                  <c:v>0.99310629205209955</c:v>
                </c:pt>
                <c:pt idx="7">
                  <c:v>0.9556954808240854</c:v>
                </c:pt>
                <c:pt idx="8">
                  <c:v>0.91840068726706381</c:v>
                </c:pt>
                <c:pt idx="9">
                  <c:v>0.88176835167297263</c:v>
                </c:pt>
                <c:pt idx="10">
                  <c:v>0.84487660628928773</c:v>
                </c:pt>
                <c:pt idx="11">
                  <c:v>0.81045354326107355</c:v>
                </c:pt>
                <c:pt idx="12">
                  <c:v>0.77759570891754437</c:v>
                </c:pt>
                <c:pt idx="13">
                  <c:v>0.74666199467389349</c:v>
                </c:pt>
                <c:pt idx="14">
                  <c:v>0.71735523281026059</c:v>
                </c:pt>
                <c:pt idx="15">
                  <c:v>0.68975289157171749</c:v>
                </c:pt>
                <c:pt idx="16">
                  <c:v>0.66548593435943615</c:v>
                </c:pt>
                <c:pt idx="17">
                  <c:v>0.64470176478883134</c:v>
                </c:pt>
                <c:pt idx="18">
                  <c:v>0.62545327206104073</c:v>
                </c:pt>
                <c:pt idx="19">
                  <c:v>0.60858848961438849</c:v>
                </c:pt>
                <c:pt idx="20">
                  <c:v>0.5948586246370503</c:v>
                </c:pt>
                <c:pt idx="21">
                  <c:v>0.5839256090776056</c:v>
                </c:pt>
                <c:pt idx="22">
                  <c:v>0.57503673673925881</c:v>
                </c:pt>
                <c:pt idx="23">
                  <c:v>0.56865232111970132</c:v>
                </c:pt>
                <c:pt idx="24">
                  <c:v>0.56507997035033963</c:v>
                </c:pt>
                <c:pt idx="25">
                  <c:v>0.56410787698434617</c:v>
                </c:pt>
                <c:pt idx="26">
                  <c:v>0.56543109596580121</c:v>
                </c:pt>
                <c:pt idx="27">
                  <c:v>0.56879711544348344</c:v>
                </c:pt>
                <c:pt idx="28">
                  <c:v>0.57451468929196825</c:v>
                </c:pt>
                <c:pt idx="29">
                  <c:v>0.58153297905339951</c:v>
                </c:pt>
                <c:pt idx="30">
                  <c:v>0.59064181006983485</c:v>
                </c:pt>
                <c:pt idx="31">
                  <c:v>0.60114026159573886</c:v>
                </c:pt>
                <c:pt idx="32">
                  <c:v>0.61394715105961051</c:v>
                </c:pt>
                <c:pt idx="33">
                  <c:v>0.62830425088229103</c:v>
                </c:pt>
                <c:pt idx="34">
                  <c:v>0.64305678041987002</c:v>
                </c:pt>
                <c:pt idx="35">
                  <c:v>0.65935762243929474</c:v>
                </c:pt>
                <c:pt idx="36">
                  <c:v>0.67722268529679319</c:v>
                </c:pt>
                <c:pt idx="37">
                  <c:v>0.6961130782748981</c:v>
                </c:pt>
                <c:pt idx="38">
                  <c:v>0.71602071576152015</c:v>
                </c:pt>
                <c:pt idx="39">
                  <c:v>0.7366717150137696</c:v>
                </c:pt>
                <c:pt idx="40">
                  <c:v>0.75835392199861118</c:v>
                </c:pt>
                <c:pt idx="41">
                  <c:v>0.78188481369545149</c:v>
                </c:pt>
                <c:pt idx="42">
                  <c:v>0.80579102035331851</c:v>
                </c:pt>
                <c:pt idx="43">
                  <c:v>0.82739706879014008</c:v>
                </c:pt>
                <c:pt idx="44">
                  <c:v>0.85343788684244337</c:v>
                </c:pt>
                <c:pt idx="45">
                  <c:v>0.87729274568165194</c:v>
                </c:pt>
                <c:pt idx="46">
                  <c:v>0.90378541465359474</c:v>
                </c:pt>
                <c:pt idx="47">
                  <c:v>0.92885470954891725</c:v>
                </c:pt>
                <c:pt idx="48">
                  <c:v>0.95381710925911845</c:v>
                </c:pt>
                <c:pt idx="49">
                  <c:v>0.97893480279743117</c:v>
                </c:pt>
                <c:pt idx="50">
                  <c:v>1.0033307495684922</c:v>
                </c:pt>
                <c:pt idx="51">
                  <c:v>1.026571940168969</c:v>
                </c:pt>
                <c:pt idx="52">
                  <c:v>1.0485799050931466</c:v>
                </c:pt>
                <c:pt idx="53">
                  <c:v>1.0688371836142041</c:v>
                </c:pt>
                <c:pt idx="54">
                  <c:v>1.0871086784510229</c:v>
                </c:pt>
                <c:pt idx="55">
                  <c:v>1.1022684706964598</c:v>
                </c:pt>
                <c:pt idx="56">
                  <c:v>1.1142600684412067</c:v>
                </c:pt>
                <c:pt idx="57">
                  <c:v>1.1222429139458192</c:v>
                </c:pt>
                <c:pt idx="58">
                  <c:v>1.1278612159722303</c:v>
                </c:pt>
                <c:pt idx="59">
                  <c:v>1.1293269389767024</c:v>
                </c:pt>
                <c:pt idx="60">
                  <c:v>1.1270749199322589</c:v>
                </c:pt>
                <c:pt idx="61">
                  <c:v>1.1214322498421818</c:v>
                </c:pt>
                <c:pt idx="62">
                  <c:v>1.1121071338745567</c:v>
                </c:pt>
                <c:pt idx="63">
                  <c:v>1.0998077168924278</c:v>
                </c:pt>
                <c:pt idx="64">
                  <c:v>1.0849644283126354</c:v>
                </c:pt>
                <c:pt idx="65">
                  <c:v>1.0682117030366209</c:v>
                </c:pt>
                <c:pt idx="66">
                  <c:v>1.0500735563320878</c:v>
                </c:pt>
                <c:pt idx="67">
                  <c:v>1.0295694348245326</c:v>
                </c:pt>
                <c:pt idx="68">
                  <c:v>1.0074862464535119</c:v>
                </c:pt>
                <c:pt idx="69">
                  <c:v>0.98568951903669288</c:v>
                </c:pt>
                <c:pt idx="70">
                  <c:v>0.96449021491044151</c:v>
                </c:pt>
                <c:pt idx="71">
                  <c:v>0.94313324634168716</c:v>
                </c:pt>
                <c:pt idx="72">
                  <c:v>0.9204569925970939</c:v>
                </c:pt>
                <c:pt idx="73">
                  <c:v>0.89873421500866502</c:v>
                </c:pt>
                <c:pt idx="74">
                  <c:v>0.87683462909708065</c:v>
                </c:pt>
                <c:pt idx="75">
                  <c:v>0.85579953981612089</c:v>
                </c:pt>
                <c:pt idx="76">
                  <c:v>0.83457759918543017</c:v>
                </c:pt>
                <c:pt idx="77">
                  <c:v>0.81440118941768547</c:v>
                </c:pt>
                <c:pt idx="78">
                  <c:v>0.79506647764585514</c:v>
                </c:pt>
                <c:pt idx="79">
                  <c:v>0.77658194309470574</c:v>
                </c:pt>
                <c:pt idx="80">
                  <c:v>0.75885213758830028</c:v>
                </c:pt>
                <c:pt idx="81">
                  <c:v>0.74277755381242594</c:v>
                </c:pt>
                <c:pt idx="82">
                  <c:v>0.72808872614010434</c:v>
                </c:pt>
                <c:pt idx="83">
                  <c:v>0.71500561327700551</c:v>
                </c:pt>
                <c:pt idx="84">
                  <c:v>0.70403726760597707</c:v>
                </c:pt>
                <c:pt idx="85">
                  <c:v>0.69531563402561392</c:v>
                </c:pt>
                <c:pt idx="86">
                  <c:v>0.68833088759938899</c:v>
                </c:pt>
                <c:pt idx="87">
                  <c:v>0.68392476516160317</c:v>
                </c:pt>
                <c:pt idx="88">
                  <c:v>0.68137328297003319</c:v>
                </c:pt>
                <c:pt idx="89">
                  <c:v>0.68181140584820399</c:v>
                </c:pt>
                <c:pt idx="90">
                  <c:v>0.68470154712637588</c:v>
                </c:pt>
                <c:pt idx="91">
                  <c:v>0.69011444033980618</c:v>
                </c:pt>
                <c:pt idx="92">
                  <c:v>0.69827568846966437</c:v>
                </c:pt>
                <c:pt idx="93">
                  <c:v>0.70931999458213713</c:v>
                </c:pt>
                <c:pt idx="94">
                  <c:v>0.72344629137568739</c:v>
                </c:pt>
                <c:pt idx="95">
                  <c:v>0.74109944321639165</c:v>
                </c:pt>
                <c:pt idx="96">
                  <c:v>0.76095090685980848</c:v>
                </c:pt>
                <c:pt idx="97">
                  <c:v>0.78412460453872435</c:v>
                </c:pt>
                <c:pt idx="98">
                  <c:v>0.80843721240827393</c:v>
                </c:pt>
                <c:pt idx="99">
                  <c:v>0.83821288125447668</c:v>
                </c:pt>
                <c:pt idx="100">
                  <c:v>0.87047122614122363</c:v>
                </c:pt>
                <c:pt idx="101">
                  <c:v>0.90538913696786305</c:v>
                </c:pt>
                <c:pt idx="102">
                  <c:v>0.94336190262034747</c:v>
                </c:pt>
                <c:pt idx="103">
                  <c:v>0.98585763845499419</c:v>
                </c:pt>
                <c:pt idx="104">
                  <c:v>1.0308870810983355</c:v>
                </c:pt>
                <c:pt idx="105">
                  <c:v>1.0801011868122743</c:v>
                </c:pt>
                <c:pt idx="106">
                  <c:v>1.1307682802690238</c:v>
                </c:pt>
                <c:pt idx="107">
                  <c:v>1.1872470278540381</c:v>
                </c:pt>
                <c:pt idx="108">
                  <c:v>1.2457510740504749</c:v>
                </c:pt>
                <c:pt idx="109">
                  <c:v>1.3084764778318456</c:v>
                </c:pt>
                <c:pt idx="110">
                  <c:v>1.3684446275870961</c:v>
                </c:pt>
                <c:pt idx="111">
                  <c:v>1.4334918007553767</c:v>
                </c:pt>
                <c:pt idx="112">
                  <c:v>1.4976548301020269</c:v>
                </c:pt>
                <c:pt idx="113">
                  <c:v>1.5670307091255944</c:v>
                </c:pt>
                <c:pt idx="114">
                  <c:v>1.6375740776913696</c:v>
                </c:pt>
                <c:pt idx="115">
                  <c:v>1.7069690943935629</c:v>
                </c:pt>
                <c:pt idx="116">
                  <c:v>1.7757778139153513</c:v>
                </c:pt>
                <c:pt idx="117">
                  <c:v>1.8456977803153356</c:v>
                </c:pt>
                <c:pt idx="118">
                  <c:v>1.9164615487698604</c:v>
                </c:pt>
                <c:pt idx="119">
                  <c:v>1.9848918393541628</c:v>
                </c:pt>
                <c:pt idx="120">
                  <c:v>2.0527918168715042</c:v>
                </c:pt>
              </c:numCache>
            </c:numRef>
          </c:yVal>
          <c:smooth val="1"/>
          <c:extLst>
            <c:ext xmlns:c16="http://schemas.microsoft.com/office/drawing/2014/chart" uri="{C3380CC4-5D6E-409C-BE32-E72D297353CC}">
              <c16:uniqueId val="{00000000-EC18-4590-B1ED-BC6D7D3659A0}"/>
            </c:ext>
          </c:extLst>
        </c:ser>
        <c:ser>
          <c:idx val="1"/>
          <c:order val="1"/>
          <c:tx>
            <c:v>Pico 8 - CAL1</c:v>
          </c:tx>
          <c:spPr>
            <a:ln>
              <a:solidFill>
                <a:srgbClr val="FF0000"/>
              </a:solidFill>
            </a:ln>
          </c:spPr>
          <c:marker>
            <c:symbol val="none"/>
          </c:marker>
          <c:trendline>
            <c:trendlineType val="poly"/>
            <c:order val="6"/>
            <c:dispRSqr val="1"/>
            <c:dispEq val="1"/>
            <c:trendlineLbl>
              <c:layout>
                <c:manualLayout>
                  <c:x val="0.11958762886597939"/>
                  <c:y val="-0.22919433070866141"/>
                </c:manualLayout>
              </c:layout>
              <c:numFmt formatCode="0.000000000000000E+00" sourceLinked="0"/>
            </c:trendlineLbl>
          </c:trendline>
          <c:xVal>
            <c:numRef>
              <c:f>'Registro Tratado'!$B$136:$B$141</c:f>
              <c:numCache>
                <c:formatCode>0.0</c:formatCode>
                <c:ptCount val="6"/>
                <c:pt idx="0">
                  <c:v>456</c:v>
                </c:pt>
                <c:pt idx="1">
                  <c:v>455</c:v>
                </c:pt>
                <c:pt idx="2">
                  <c:v>454</c:v>
                </c:pt>
                <c:pt idx="3">
                  <c:v>453</c:v>
                </c:pt>
                <c:pt idx="4">
                  <c:v>452</c:v>
                </c:pt>
                <c:pt idx="5">
                  <c:v>451</c:v>
                </c:pt>
              </c:numCache>
            </c:numRef>
          </c:xVal>
          <c:yVal>
            <c:numRef>
              <c:f>'Registro Tratado'!$C$136:$C$141</c:f>
              <c:numCache>
                <c:formatCode>0.000</c:formatCode>
                <c:ptCount val="6"/>
                <c:pt idx="0">
                  <c:v>0.61099999999999999</c:v>
                </c:pt>
                <c:pt idx="1">
                  <c:v>0.65800000000000003</c:v>
                </c:pt>
                <c:pt idx="2">
                  <c:v>0.69</c:v>
                </c:pt>
                <c:pt idx="3">
                  <c:v>0.68</c:v>
                </c:pt>
                <c:pt idx="4">
                  <c:v>0.66400000000000003</c:v>
                </c:pt>
                <c:pt idx="5">
                  <c:v>0.68100000000000005</c:v>
                </c:pt>
              </c:numCache>
            </c:numRef>
          </c:yVal>
          <c:smooth val="1"/>
          <c:extLst>
            <c:ext xmlns:c16="http://schemas.microsoft.com/office/drawing/2014/chart" uri="{C3380CC4-5D6E-409C-BE32-E72D297353CC}">
              <c16:uniqueId val="{00000001-EC18-4590-B1ED-BC6D7D3659A0}"/>
            </c:ext>
          </c:extLst>
        </c:ser>
        <c:ser>
          <c:idx val="2"/>
          <c:order val="2"/>
          <c:tx>
            <c:v>Pico 8 - Largura de banda</c:v>
          </c:tx>
          <c:spPr>
            <a:ln w="15875">
              <a:solidFill>
                <a:srgbClr val="FFC000"/>
              </a:solidFill>
            </a:ln>
          </c:spPr>
          <c:marker>
            <c:symbol val="none"/>
          </c:marker>
          <c:xVal>
            <c:numRef>
              <c:f>'Registro Tratado'!$AH$129:$CP$129</c:f>
              <c:numCache>
                <c:formatCode>0.0</c:formatCode>
                <c:ptCount val="61"/>
                <c:pt idx="0">
                  <c:v>447.4</c:v>
                </c:pt>
                <c:pt idx="1">
                  <c:v>447.59999999999997</c:v>
                </c:pt>
                <c:pt idx="2">
                  <c:v>447.79999999999995</c:v>
                </c:pt>
                <c:pt idx="3">
                  <c:v>447.99999999999994</c:v>
                </c:pt>
                <c:pt idx="4">
                  <c:v>448.19999999999993</c:v>
                </c:pt>
                <c:pt idx="5">
                  <c:v>448.39999999999992</c:v>
                </c:pt>
                <c:pt idx="6">
                  <c:v>448.59999999999991</c:v>
                </c:pt>
                <c:pt idx="7">
                  <c:v>448.7999999999999</c:v>
                </c:pt>
                <c:pt idx="8">
                  <c:v>448.99999999999989</c:v>
                </c:pt>
                <c:pt idx="9">
                  <c:v>449.19999999999987</c:v>
                </c:pt>
                <c:pt idx="10">
                  <c:v>449.39999999999986</c:v>
                </c:pt>
                <c:pt idx="11">
                  <c:v>449.59999999999985</c:v>
                </c:pt>
                <c:pt idx="12">
                  <c:v>449.79999999999984</c:v>
                </c:pt>
                <c:pt idx="13">
                  <c:v>449.99999999999983</c:v>
                </c:pt>
                <c:pt idx="14">
                  <c:v>450.19999999999982</c:v>
                </c:pt>
                <c:pt idx="15">
                  <c:v>450.39999999999981</c:v>
                </c:pt>
                <c:pt idx="16">
                  <c:v>450.5999999999998</c:v>
                </c:pt>
                <c:pt idx="17">
                  <c:v>450.79999999999978</c:v>
                </c:pt>
                <c:pt idx="18">
                  <c:v>450.99999999999977</c:v>
                </c:pt>
                <c:pt idx="19">
                  <c:v>451.19999999999976</c:v>
                </c:pt>
                <c:pt idx="20">
                  <c:v>451.39999999999975</c:v>
                </c:pt>
                <c:pt idx="21">
                  <c:v>451.59999999999974</c:v>
                </c:pt>
                <c:pt idx="22">
                  <c:v>451.79999999999973</c:v>
                </c:pt>
                <c:pt idx="23">
                  <c:v>451.99999999999972</c:v>
                </c:pt>
                <c:pt idx="24">
                  <c:v>452.1999999999997</c:v>
                </c:pt>
                <c:pt idx="25">
                  <c:v>452.39999999999969</c:v>
                </c:pt>
                <c:pt idx="26">
                  <c:v>452.59999999999968</c:v>
                </c:pt>
                <c:pt idx="27">
                  <c:v>452.79999999999967</c:v>
                </c:pt>
                <c:pt idx="28">
                  <c:v>452.99999999999966</c:v>
                </c:pt>
                <c:pt idx="29">
                  <c:v>453.19999999999965</c:v>
                </c:pt>
                <c:pt idx="30">
                  <c:v>453.39999999999964</c:v>
                </c:pt>
                <c:pt idx="31">
                  <c:v>453.59999999999962</c:v>
                </c:pt>
                <c:pt idx="32">
                  <c:v>453.79999999999961</c:v>
                </c:pt>
                <c:pt idx="33">
                  <c:v>453.9999999999996</c:v>
                </c:pt>
                <c:pt idx="34">
                  <c:v>454.19999999999959</c:v>
                </c:pt>
                <c:pt idx="35">
                  <c:v>454.39999999999958</c:v>
                </c:pt>
                <c:pt idx="36">
                  <c:v>454.59999999999957</c:v>
                </c:pt>
                <c:pt idx="37">
                  <c:v>454.79999999999956</c:v>
                </c:pt>
                <c:pt idx="38">
                  <c:v>454.99999999999955</c:v>
                </c:pt>
                <c:pt idx="39">
                  <c:v>455.19999999999953</c:v>
                </c:pt>
                <c:pt idx="40">
                  <c:v>455.39999999999952</c:v>
                </c:pt>
                <c:pt idx="41">
                  <c:v>455.59999999999951</c:v>
                </c:pt>
                <c:pt idx="42">
                  <c:v>455.7999999999995</c:v>
                </c:pt>
                <c:pt idx="43">
                  <c:v>455.99999999999949</c:v>
                </c:pt>
                <c:pt idx="44">
                  <c:v>456.19999999999948</c:v>
                </c:pt>
                <c:pt idx="45">
                  <c:v>456.39999999999947</c:v>
                </c:pt>
                <c:pt idx="46">
                  <c:v>456.59999999999945</c:v>
                </c:pt>
                <c:pt idx="47">
                  <c:v>456.79999999999944</c:v>
                </c:pt>
                <c:pt idx="48">
                  <c:v>456.99999999999943</c:v>
                </c:pt>
                <c:pt idx="49">
                  <c:v>457.19999999999942</c:v>
                </c:pt>
                <c:pt idx="50">
                  <c:v>457.39999999999941</c:v>
                </c:pt>
                <c:pt idx="51">
                  <c:v>457.5999999999994</c:v>
                </c:pt>
                <c:pt idx="52">
                  <c:v>457.79999999999939</c:v>
                </c:pt>
                <c:pt idx="53">
                  <c:v>457.99999999999937</c:v>
                </c:pt>
                <c:pt idx="54">
                  <c:v>458.19999999999936</c:v>
                </c:pt>
                <c:pt idx="55">
                  <c:v>458.39999999999935</c:v>
                </c:pt>
                <c:pt idx="56">
                  <c:v>458.59999999999934</c:v>
                </c:pt>
                <c:pt idx="57">
                  <c:v>458.79999999999933</c:v>
                </c:pt>
                <c:pt idx="58">
                  <c:v>458.99999999999932</c:v>
                </c:pt>
                <c:pt idx="59">
                  <c:v>459.19999999999931</c:v>
                </c:pt>
                <c:pt idx="60">
                  <c:v>459.3999999999993</c:v>
                </c:pt>
              </c:numCache>
            </c:numRef>
          </c:xVal>
          <c:yVal>
            <c:numRef>
              <c:f>'Registro Tratado'!$AH$130:$CP$130</c:f>
              <c:numCache>
                <c:formatCode>0.0000</c:formatCode>
                <c:ptCount val="61"/>
                <c:pt idx="0">
                  <c:v>0.98035000000000005</c:v>
                </c:pt>
                <c:pt idx="1">
                  <c:v>0.98035000000000005</c:v>
                </c:pt>
                <c:pt idx="2">
                  <c:v>0.98035000000000005</c:v>
                </c:pt>
                <c:pt idx="3">
                  <c:v>0.98035000000000005</c:v>
                </c:pt>
                <c:pt idx="4">
                  <c:v>0.98035000000000005</c:v>
                </c:pt>
                <c:pt idx="5">
                  <c:v>0.98035000000000005</c:v>
                </c:pt>
                <c:pt idx="6">
                  <c:v>0.98035000000000005</c:v>
                </c:pt>
                <c:pt idx="7">
                  <c:v>0.98035000000000005</c:v>
                </c:pt>
                <c:pt idx="8">
                  <c:v>0.98035000000000005</c:v>
                </c:pt>
                <c:pt idx="9">
                  <c:v>0.98035000000000005</c:v>
                </c:pt>
                <c:pt idx="10">
                  <c:v>0.98035000000000005</c:v>
                </c:pt>
                <c:pt idx="11">
                  <c:v>0.98035000000000005</c:v>
                </c:pt>
                <c:pt idx="12">
                  <c:v>0.98035000000000005</c:v>
                </c:pt>
                <c:pt idx="13">
                  <c:v>0.98035000000000005</c:v>
                </c:pt>
                <c:pt idx="14">
                  <c:v>0.98035000000000005</c:v>
                </c:pt>
                <c:pt idx="15">
                  <c:v>0.98035000000000005</c:v>
                </c:pt>
                <c:pt idx="16">
                  <c:v>0.98035000000000005</c:v>
                </c:pt>
                <c:pt idx="17">
                  <c:v>0.98035000000000005</c:v>
                </c:pt>
                <c:pt idx="18">
                  <c:v>0.98035000000000005</c:v>
                </c:pt>
                <c:pt idx="19">
                  <c:v>0.98035000000000005</c:v>
                </c:pt>
                <c:pt idx="20">
                  <c:v>0.98035000000000005</c:v>
                </c:pt>
                <c:pt idx="21">
                  <c:v>0.98035000000000005</c:v>
                </c:pt>
                <c:pt idx="22">
                  <c:v>0.98035000000000005</c:v>
                </c:pt>
                <c:pt idx="23">
                  <c:v>0.98035000000000005</c:v>
                </c:pt>
                <c:pt idx="24">
                  <c:v>0.98035000000000005</c:v>
                </c:pt>
                <c:pt idx="25">
                  <c:v>0.98035000000000005</c:v>
                </c:pt>
                <c:pt idx="26">
                  <c:v>0.98035000000000005</c:v>
                </c:pt>
                <c:pt idx="27">
                  <c:v>0.98035000000000005</c:v>
                </c:pt>
                <c:pt idx="28">
                  <c:v>0.98035000000000005</c:v>
                </c:pt>
                <c:pt idx="29">
                  <c:v>0.98035000000000005</c:v>
                </c:pt>
                <c:pt idx="30">
                  <c:v>0.98035000000000005</c:v>
                </c:pt>
                <c:pt idx="31">
                  <c:v>0.98035000000000005</c:v>
                </c:pt>
                <c:pt idx="32">
                  <c:v>0.98035000000000005</c:v>
                </c:pt>
                <c:pt idx="33">
                  <c:v>0.98035000000000005</c:v>
                </c:pt>
                <c:pt idx="34">
                  <c:v>0.98035000000000005</c:v>
                </c:pt>
                <c:pt idx="35">
                  <c:v>0.98035000000000005</c:v>
                </c:pt>
                <c:pt idx="36">
                  <c:v>0.98035000000000005</c:v>
                </c:pt>
                <c:pt idx="37">
                  <c:v>0.98035000000000005</c:v>
                </c:pt>
                <c:pt idx="38">
                  <c:v>0.98035000000000005</c:v>
                </c:pt>
                <c:pt idx="39">
                  <c:v>0.98035000000000005</c:v>
                </c:pt>
                <c:pt idx="40">
                  <c:v>0.98035000000000005</c:v>
                </c:pt>
                <c:pt idx="41">
                  <c:v>0.98035000000000005</c:v>
                </c:pt>
                <c:pt idx="42">
                  <c:v>0.98035000000000005</c:v>
                </c:pt>
                <c:pt idx="43">
                  <c:v>0.98035000000000005</c:v>
                </c:pt>
                <c:pt idx="44">
                  <c:v>0.98035000000000005</c:v>
                </c:pt>
                <c:pt idx="45">
                  <c:v>0.98035000000000005</c:v>
                </c:pt>
                <c:pt idx="46">
                  <c:v>0.98035000000000005</c:v>
                </c:pt>
                <c:pt idx="47">
                  <c:v>0.98035000000000005</c:v>
                </c:pt>
                <c:pt idx="48">
                  <c:v>0.98035000000000005</c:v>
                </c:pt>
                <c:pt idx="49">
                  <c:v>0.98035000000000005</c:v>
                </c:pt>
                <c:pt idx="50">
                  <c:v>0.98035000000000005</c:v>
                </c:pt>
                <c:pt idx="51">
                  <c:v>0.98035000000000005</c:v>
                </c:pt>
                <c:pt idx="52">
                  <c:v>0.98035000000000005</c:v>
                </c:pt>
                <c:pt idx="53">
                  <c:v>0.98035000000000005</c:v>
                </c:pt>
                <c:pt idx="54">
                  <c:v>0.98035000000000005</c:v>
                </c:pt>
                <c:pt idx="55">
                  <c:v>0.98035000000000005</c:v>
                </c:pt>
                <c:pt idx="56">
                  <c:v>0.98035000000000005</c:v>
                </c:pt>
                <c:pt idx="57">
                  <c:v>0.98035000000000005</c:v>
                </c:pt>
                <c:pt idx="58">
                  <c:v>0.98035000000000005</c:v>
                </c:pt>
                <c:pt idx="59">
                  <c:v>0.98035000000000005</c:v>
                </c:pt>
                <c:pt idx="60">
                  <c:v>0.98035000000000005</c:v>
                </c:pt>
              </c:numCache>
            </c:numRef>
          </c:yVal>
          <c:smooth val="1"/>
          <c:extLst>
            <c:ext xmlns:c16="http://schemas.microsoft.com/office/drawing/2014/chart" uri="{C3380CC4-5D6E-409C-BE32-E72D297353CC}">
              <c16:uniqueId val="{00000002-EC18-4590-B1ED-BC6D7D3659A0}"/>
            </c:ext>
          </c:extLst>
        </c:ser>
        <c:ser>
          <c:idx val="3"/>
          <c:order val="3"/>
          <c:tx>
            <c:v>Pico 8 - CAL2</c:v>
          </c:tx>
          <c:spPr>
            <a:ln>
              <a:solidFill>
                <a:srgbClr val="00B050"/>
              </a:solidFill>
            </a:ln>
          </c:spPr>
          <c:marker>
            <c:symbol val="none"/>
          </c:marker>
          <c:trendline>
            <c:trendlineType val="poly"/>
            <c:order val="6"/>
            <c:dispRSqr val="1"/>
            <c:dispEq val="1"/>
            <c:trendlineLbl>
              <c:layout>
                <c:manualLayout>
                  <c:x val="0.1140893470790378"/>
                  <c:y val="7.3592650918635177E-2"/>
                </c:manualLayout>
              </c:layout>
              <c:numFmt formatCode="0.000000000000000E+00" sourceLinked="0"/>
            </c:trendlineLbl>
          </c:trendline>
          <c:xVal>
            <c:numRef>
              <c:f>'Registro Tratado'!$E$136:$E$141</c:f>
              <c:numCache>
                <c:formatCode>0.0</c:formatCode>
                <c:ptCount val="6"/>
                <c:pt idx="0">
                  <c:v>454.5</c:v>
                </c:pt>
                <c:pt idx="1">
                  <c:v>454</c:v>
                </c:pt>
                <c:pt idx="2">
                  <c:v>453.5</c:v>
                </c:pt>
                <c:pt idx="3">
                  <c:v>453</c:v>
                </c:pt>
                <c:pt idx="4">
                  <c:v>452.5</c:v>
                </c:pt>
                <c:pt idx="5">
                  <c:v>452</c:v>
                </c:pt>
              </c:numCache>
            </c:numRef>
          </c:xVal>
          <c:yVal>
            <c:numRef>
              <c:f>'Registro Tratado'!$F$136:$F$141</c:f>
              <c:numCache>
                <c:formatCode>0.000</c:formatCode>
                <c:ptCount val="6"/>
                <c:pt idx="0">
                  <c:v>0.625</c:v>
                </c:pt>
                <c:pt idx="1">
                  <c:v>0.67100000000000004</c:v>
                </c:pt>
                <c:pt idx="2">
                  <c:v>0.69</c:v>
                </c:pt>
                <c:pt idx="3">
                  <c:v>0.67500000000000004</c:v>
                </c:pt>
                <c:pt idx="4">
                  <c:v>0.66400000000000003</c:v>
                </c:pt>
                <c:pt idx="5">
                  <c:v>0.69499999999999995</c:v>
                </c:pt>
              </c:numCache>
            </c:numRef>
          </c:yVal>
          <c:smooth val="1"/>
          <c:extLst>
            <c:ext xmlns:c16="http://schemas.microsoft.com/office/drawing/2014/chart" uri="{C3380CC4-5D6E-409C-BE32-E72D297353CC}">
              <c16:uniqueId val="{00000003-EC18-4590-B1ED-BC6D7D3659A0}"/>
            </c:ext>
          </c:extLst>
        </c:ser>
        <c:dLbls>
          <c:showLegendKey val="0"/>
          <c:showVal val="0"/>
          <c:showCatName val="0"/>
          <c:showSerName val="0"/>
          <c:showPercent val="0"/>
          <c:showBubbleSize val="0"/>
        </c:dLbls>
        <c:axId val="77690752"/>
        <c:axId val="77709312"/>
      </c:scatterChart>
      <c:valAx>
        <c:axId val="77690752"/>
        <c:scaling>
          <c:orientation val="minMax"/>
          <c:max val="459.4"/>
          <c:min val="447.4"/>
        </c:scaling>
        <c:delete val="0"/>
        <c:axPos val="t"/>
        <c:title>
          <c:tx>
            <c:rich>
              <a:bodyPr/>
              <a:lstStyle/>
              <a:p>
                <a:pPr>
                  <a:defRPr sz="1000" b="1" i="0" u="none" strike="noStrike" baseline="0">
                    <a:solidFill>
                      <a:srgbClr val="000000"/>
                    </a:solidFill>
                    <a:latin typeface="Arial"/>
                    <a:ea typeface="Arial"/>
                    <a:cs typeface="Arial"/>
                  </a:defRPr>
                </a:pPr>
                <a:r>
                  <a:rPr lang="pt-BR"/>
                  <a:t>Comprimento</a:t>
                </a:r>
                <a:r>
                  <a:rPr lang="pt-BR" baseline="0"/>
                  <a:t> de Onda</a:t>
                </a:r>
                <a:r>
                  <a:rPr lang="pt-BR"/>
                  <a:t> [nm]</a:t>
                </a:r>
              </a:p>
            </c:rich>
          </c:tx>
          <c:layout>
            <c:manualLayout>
              <c:xMode val="edge"/>
              <c:yMode val="edge"/>
              <c:x val="0.43979123678722543"/>
              <c:y val="0.89920440944881885"/>
            </c:manualLayout>
          </c:layout>
          <c:overlay val="0"/>
          <c:spPr>
            <a:noFill/>
            <a:ln w="25400">
              <a:noFill/>
            </a:ln>
          </c:spPr>
        </c:title>
        <c:numFmt formatCode="0.0" sourceLinked="0"/>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pt-BR"/>
          </a:p>
        </c:txPr>
        <c:crossAx val="77709312"/>
        <c:crosses val="max"/>
        <c:crossBetween val="midCat"/>
        <c:majorUnit val="1"/>
        <c:minorUnit val="0.2"/>
      </c:valAx>
      <c:valAx>
        <c:axId val="77709312"/>
        <c:scaling>
          <c:orientation val="minMax"/>
          <c:max val="1.1500000000000001"/>
          <c:min val="0.55000000000000004"/>
        </c:scaling>
        <c:delete val="0"/>
        <c:axPos val="l"/>
        <c:majorGridlines>
          <c:spPr>
            <a:ln w="3175">
              <a:solidFill>
                <a:schemeClr val="bg1">
                  <a:lumMod val="65000"/>
                </a:schemeClr>
              </a:solidFill>
              <a:prstDash val="solid"/>
            </a:ln>
          </c:spPr>
        </c:majorGridlines>
        <c:title>
          <c:tx>
            <c:rich>
              <a:bodyPr/>
              <a:lstStyle/>
              <a:p>
                <a:pPr>
                  <a:defRPr sz="1000" b="1" i="0" u="none" strike="noStrike" baseline="0">
                    <a:solidFill>
                      <a:srgbClr val="000000"/>
                    </a:solidFill>
                    <a:latin typeface="Arial"/>
                    <a:ea typeface="Arial"/>
                    <a:cs typeface="Arial"/>
                  </a:defRPr>
                </a:pPr>
                <a:r>
                  <a:rPr lang="pt-BR"/>
                  <a:t>Absorbância </a:t>
                </a:r>
              </a:p>
            </c:rich>
          </c:tx>
          <c:layout>
            <c:manualLayout>
              <c:xMode val="edge"/>
              <c:yMode val="edge"/>
              <c:x val="1.7353098158327692E-2"/>
              <c:y val="0.3355424671916013"/>
            </c:manualLayout>
          </c:layout>
          <c:overlay val="0"/>
          <c:spPr>
            <a:noFill/>
            <a:ln w="25400">
              <a:noFill/>
            </a:ln>
          </c:spPr>
        </c:title>
        <c:numFmt formatCode="0.00" sourceLinked="0"/>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pt-BR"/>
          </a:p>
        </c:txPr>
        <c:crossAx val="77690752"/>
        <c:crosses val="autoZero"/>
        <c:crossBetween val="midCat"/>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pt-BR"/>
    </a:p>
  </c:txPr>
  <c:printSettings>
    <c:headerFooter alignWithMargins="0"/>
    <c:pageMargins b="0.98425196899999978" l="0.78740157499999996" r="0.78740157499999996" t="0.98425196899999978"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BR" sz="1100" b="1"/>
              <a:t>Pico 6  -  418,5 nm</a:t>
            </a:r>
          </a:p>
        </c:rich>
      </c:tx>
      <c:layout>
        <c:manualLayout>
          <c:xMode val="edge"/>
          <c:yMode val="edge"/>
          <c:x val="0.57254488519470215"/>
          <c:y val="0.15273645575179606"/>
        </c:manualLayout>
      </c:layout>
      <c:overlay val="0"/>
    </c:title>
    <c:autoTitleDeleted val="0"/>
    <c:plotArea>
      <c:layout>
        <c:manualLayout>
          <c:layoutTarget val="inner"/>
          <c:xMode val="edge"/>
          <c:yMode val="edge"/>
          <c:x val="7.7751327595678474E-2"/>
          <c:y val="6.1360000623067519E-2"/>
          <c:w val="0.81675531869566498"/>
          <c:h val="0.74801061007957614"/>
        </c:manualLayout>
      </c:layout>
      <c:scatterChart>
        <c:scatterStyle val="smoothMarker"/>
        <c:varyColors val="0"/>
        <c:ser>
          <c:idx val="0"/>
          <c:order val="0"/>
          <c:tx>
            <c:v>Pico 7</c:v>
          </c:tx>
          <c:spPr>
            <a:ln w="12700">
              <a:solidFill>
                <a:srgbClr val="000080"/>
              </a:solidFill>
              <a:prstDash val="solid"/>
            </a:ln>
          </c:spPr>
          <c:marker>
            <c:symbol val="none"/>
          </c:marker>
          <c:xVal>
            <c:numRef>
              <c:f>'Registro Tratado'!$AD$2560:$AD$2680</c:f>
              <c:numCache>
                <c:formatCode>0.0</c:formatCode>
                <c:ptCount val="121"/>
                <c:pt idx="0">
                  <c:v>424.5</c:v>
                </c:pt>
                <c:pt idx="1">
                  <c:v>424.4</c:v>
                </c:pt>
                <c:pt idx="2">
                  <c:v>424.3</c:v>
                </c:pt>
                <c:pt idx="3">
                  <c:v>424.2</c:v>
                </c:pt>
                <c:pt idx="4">
                  <c:v>424.1</c:v>
                </c:pt>
                <c:pt idx="5">
                  <c:v>424</c:v>
                </c:pt>
                <c:pt idx="6">
                  <c:v>423.9</c:v>
                </c:pt>
                <c:pt idx="7">
                  <c:v>423.8</c:v>
                </c:pt>
                <c:pt idx="8">
                  <c:v>423.7</c:v>
                </c:pt>
                <c:pt idx="9">
                  <c:v>423.6</c:v>
                </c:pt>
                <c:pt idx="10">
                  <c:v>423.5</c:v>
                </c:pt>
                <c:pt idx="11">
                  <c:v>423.4</c:v>
                </c:pt>
                <c:pt idx="12">
                  <c:v>423.3</c:v>
                </c:pt>
                <c:pt idx="13">
                  <c:v>423.2</c:v>
                </c:pt>
                <c:pt idx="14">
                  <c:v>423.1</c:v>
                </c:pt>
                <c:pt idx="15">
                  <c:v>423</c:v>
                </c:pt>
                <c:pt idx="16">
                  <c:v>422.9</c:v>
                </c:pt>
                <c:pt idx="17">
                  <c:v>422.8</c:v>
                </c:pt>
                <c:pt idx="18">
                  <c:v>422.7</c:v>
                </c:pt>
                <c:pt idx="19">
                  <c:v>422.6</c:v>
                </c:pt>
                <c:pt idx="20">
                  <c:v>422.5</c:v>
                </c:pt>
                <c:pt idx="21">
                  <c:v>422.4</c:v>
                </c:pt>
                <c:pt idx="22">
                  <c:v>422.3</c:v>
                </c:pt>
                <c:pt idx="23">
                  <c:v>422.2</c:v>
                </c:pt>
                <c:pt idx="24">
                  <c:v>422.1</c:v>
                </c:pt>
                <c:pt idx="25">
                  <c:v>422</c:v>
                </c:pt>
                <c:pt idx="26">
                  <c:v>421.9</c:v>
                </c:pt>
                <c:pt idx="27">
                  <c:v>421.8</c:v>
                </c:pt>
                <c:pt idx="28">
                  <c:v>421.7</c:v>
                </c:pt>
                <c:pt idx="29">
                  <c:v>421.6</c:v>
                </c:pt>
                <c:pt idx="30">
                  <c:v>421.5</c:v>
                </c:pt>
                <c:pt idx="31">
                  <c:v>421.4</c:v>
                </c:pt>
                <c:pt idx="32">
                  <c:v>421.3</c:v>
                </c:pt>
                <c:pt idx="33">
                  <c:v>421.2</c:v>
                </c:pt>
                <c:pt idx="34">
                  <c:v>421.1</c:v>
                </c:pt>
                <c:pt idx="35">
                  <c:v>421</c:v>
                </c:pt>
                <c:pt idx="36">
                  <c:v>420.9</c:v>
                </c:pt>
                <c:pt idx="37">
                  <c:v>420.8</c:v>
                </c:pt>
                <c:pt idx="38">
                  <c:v>420.7</c:v>
                </c:pt>
                <c:pt idx="39">
                  <c:v>420.6</c:v>
                </c:pt>
                <c:pt idx="40">
                  <c:v>420.5</c:v>
                </c:pt>
                <c:pt idx="41">
                  <c:v>420.4</c:v>
                </c:pt>
                <c:pt idx="42">
                  <c:v>420.3</c:v>
                </c:pt>
                <c:pt idx="43">
                  <c:v>420.2</c:v>
                </c:pt>
                <c:pt idx="44">
                  <c:v>420.1</c:v>
                </c:pt>
                <c:pt idx="45">
                  <c:v>420</c:v>
                </c:pt>
                <c:pt idx="46">
                  <c:v>419.9</c:v>
                </c:pt>
                <c:pt idx="47">
                  <c:v>419.8</c:v>
                </c:pt>
                <c:pt idx="48">
                  <c:v>419.7</c:v>
                </c:pt>
                <c:pt idx="49">
                  <c:v>419.6</c:v>
                </c:pt>
                <c:pt idx="50">
                  <c:v>419.5</c:v>
                </c:pt>
                <c:pt idx="51">
                  <c:v>419.4</c:v>
                </c:pt>
                <c:pt idx="52">
                  <c:v>419.3</c:v>
                </c:pt>
                <c:pt idx="53">
                  <c:v>419.2</c:v>
                </c:pt>
                <c:pt idx="54">
                  <c:v>419.1</c:v>
                </c:pt>
                <c:pt idx="55">
                  <c:v>419</c:v>
                </c:pt>
                <c:pt idx="56">
                  <c:v>418.9</c:v>
                </c:pt>
                <c:pt idx="57">
                  <c:v>418.8</c:v>
                </c:pt>
                <c:pt idx="58">
                  <c:v>418.7</c:v>
                </c:pt>
                <c:pt idx="59">
                  <c:v>418.6</c:v>
                </c:pt>
                <c:pt idx="60">
                  <c:v>418.5</c:v>
                </c:pt>
                <c:pt idx="61">
                  <c:v>418.4</c:v>
                </c:pt>
                <c:pt idx="62">
                  <c:v>418.3</c:v>
                </c:pt>
                <c:pt idx="63">
                  <c:v>418.2</c:v>
                </c:pt>
                <c:pt idx="64">
                  <c:v>418.1</c:v>
                </c:pt>
                <c:pt idx="65">
                  <c:v>418</c:v>
                </c:pt>
                <c:pt idx="66">
                  <c:v>417.9</c:v>
                </c:pt>
                <c:pt idx="67">
                  <c:v>417.8</c:v>
                </c:pt>
                <c:pt idx="68">
                  <c:v>417.7</c:v>
                </c:pt>
                <c:pt idx="69">
                  <c:v>417.6</c:v>
                </c:pt>
                <c:pt idx="70">
                  <c:v>417.5</c:v>
                </c:pt>
                <c:pt idx="71">
                  <c:v>417.4</c:v>
                </c:pt>
                <c:pt idx="72">
                  <c:v>417.3</c:v>
                </c:pt>
                <c:pt idx="73">
                  <c:v>417.2</c:v>
                </c:pt>
                <c:pt idx="74">
                  <c:v>417.1</c:v>
                </c:pt>
                <c:pt idx="75">
                  <c:v>417</c:v>
                </c:pt>
                <c:pt idx="76">
                  <c:v>416.9</c:v>
                </c:pt>
                <c:pt idx="77">
                  <c:v>416.8</c:v>
                </c:pt>
                <c:pt idx="78">
                  <c:v>416.7</c:v>
                </c:pt>
                <c:pt idx="79">
                  <c:v>416.6</c:v>
                </c:pt>
                <c:pt idx="80">
                  <c:v>416.5</c:v>
                </c:pt>
                <c:pt idx="81">
                  <c:v>416.4</c:v>
                </c:pt>
                <c:pt idx="82">
                  <c:v>416.3</c:v>
                </c:pt>
                <c:pt idx="83">
                  <c:v>416.2</c:v>
                </c:pt>
                <c:pt idx="84">
                  <c:v>416.1</c:v>
                </c:pt>
                <c:pt idx="85">
                  <c:v>416</c:v>
                </c:pt>
                <c:pt idx="86">
                  <c:v>415.9</c:v>
                </c:pt>
                <c:pt idx="87">
                  <c:v>415.8</c:v>
                </c:pt>
                <c:pt idx="88">
                  <c:v>415.7</c:v>
                </c:pt>
                <c:pt idx="89">
                  <c:v>415.6</c:v>
                </c:pt>
                <c:pt idx="90">
                  <c:v>415.5</c:v>
                </c:pt>
                <c:pt idx="91">
                  <c:v>415.4</c:v>
                </c:pt>
                <c:pt idx="92">
                  <c:v>415.3</c:v>
                </c:pt>
                <c:pt idx="93">
                  <c:v>415.2</c:v>
                </c:pt>
                <c:pt idx="94">
                  <c:v>415.1</c:v>
                </c:pt>
                <c:pt idx="95">
                  <c:v>415</c:v>
                </c:pt>
                <c:pt idx="96">
                  <c:v>414.9</c:v>
                </c:pt>
                <c:pt idx="97">
                  <c:v>414.8</c:v>
                </c:pt>
                <c:pt idx="98">
                  <c:v>414.7</c:v>
                </c:pt>
                <c:pt idx="99">
                  <c:v>414.6</c:v>
                </c:pt>
                <c:pt idx="100">
                  <c:v>414.5</c:v>
                </c:pt>
                <c:pt idx="101">
                  <c:v>414.4</c:v>
                </c:pt>
                <c:pt idx="102">
                  <c:v>414.3</c:v>
                </c:pt>
                <c:pt idx="103">
                  <c:v>414.2</c:v>
                </c:pt>
                <c:pt idx="104">
                  <c:v>414.1</c:v>
                </c:pt>
                <c:pt idx="105">
                  <c:v>414</c:v>
                </c:pt>
                <c:pt idx="106">
                  <c:v>413.9</c:v>
                </c:pt>
                <c:pt idx="107">
                  <c:v>413.8</c:v>
                </c:pt>
                <c:pt idx="108">
                  <c:v>413.7</c:v>
                </c:pt>
                <c:pt idx="109">
                  <c:v>413.6</c:v>
                </c:pt>
                <c:pt idx="110">
                  <c:v>413.5</c:v>
                </c:pt>
                <c:pt idx="111">
                  <c:v>413.4</c:v>
                </c:pt>
                <c:pt idx="112">
                  <c:v>413.3</c:v>
                </c:pt>
                <c:pt idx="113">
                  <c:v>413.2</c:v>
                </c:pt>
                <c:pt idx="114">
                  <c:v>413.1</c:v>
                </c:pt>
                <c:pt idx="115">
                  <c:v>413</c:v>
                </c:pt>
                <c:pt idx="116">
                  <c:v>412.9</c:v>
                </c:pt>
                <c:pt idx="117">
                  <c:v>412.8</c:v>
                </c:pt>
                <c:pt idx="118">
                  <c:v>412.7</c:v>
                </c:pt>
                <c:pt idx="119">
                  <c:v>412.6</c:v>
                </c:pt>
                <c:pt idx="120">
                  <c:v>412.5</c:v>
                </c:pt>
              </c:numCache>
            </c:numRef>
          </c:xVal>
          <c:yVal>
            <c:numRef>
              <c:f>'Registro Tratado'!$AF$2560:$AF$2680</c:f>
              <c:numCache>
                <c:formatCode>0.0000</c:formatCode>
                <c:ptCount val="121"/>
                <c:pt idx="0">
                  <c:v>0.12763391751912445</c:v>
                </c:pt>
                <c:pt idx="1">
                  <c:v>0.12666195698936566</c:v>
                </c:pt>
                <c:pt idx="2">
                  <c:v>0.12522836281570171</c:v>
                </c:pt>
                <c:pt idx="3">
                  <c:v>0.12380526079307576</c:v>
                </c:pt>
                <c:pt idx="4">
                  <c:v>0.12245589228405593</c:v>
                </c:pt>
                <c:pt idx="5">
                  <c:v>0.12117384546481803</c:v>
                </c:pt>
                <c:pt idx="6">
                  <c:v>0.11940932656241313</c:v>
                </c:pt>
                <c:pt idx="7">
                  <c:v>0.11712270550638179</c:v>
                </c:pt>
                <c:pt idx="8">
                  <c:v>0.11504612201670604</c:v>
                </c:pt>
                <c:pt idx="9">
                  <c:v>0.11295125485823058</c:v>
                </c:pt>
                <c:pt idx="10">
                  <c:v>0.11136004977968698</c:v>
                </c:pt>
                <c:pt idx="11">
                  <c:v>0.10958457061062521</c:v>
                </c:pt>
                <c:pt idx="12">
                  <c:v>0.10765491504828216</c:v>
                </c:pt>
                <c:pt idx="13">
                  <c:v>0.10608850703834856</c:v>
                </c:pt>
                <c:pt idx="14">
                  <c:v>0.10477088515860558</c:v>
                </c:pt>
                <c:pt idx="15">
                  <c:v>0.10381010513176463</c:v>
                </c:pt>
                <c:pt idx="16">
                  <c:v>0.1031156923455632</c:v>
                </c:pt>
                <c:pt idx="17">
                  <c:v>0.10283493586222948</c:v>
                </c:pt>
                <c:pt idx="18">
                  <c:v>0.1030441097298208</c:v>
                </c:pt>
                <c:pt idx="19">
                  <c:v>0.10351236368315313</c:v>
                </c:pt>
                <c:pt idx="20">
                  <c:v>0.10372737869632628</c:v>
                </c:pt>
                <c:pt idx="21">
                  <c:v>0.1046492897775186</c:v>
                </c:pt>
                <c:pt idx="22">
                  <c:v>0.10578365923145244</c:v>
                </c:pt>
                <c:pt idx="23">
                  <c:v>0.10750469500654035</c:v>
                </c:pt>
                <c:pt idx="24">
                  <c:v>0.1099144732836748</c:v>
                </c:pt>
                <c:pt idx="25">
                  <c:v>0.11265844041525531</c:v>
                </c:pt>
                <c:pt idx="26">
                  <c:v>0.1155558374406989</c:v>
                </c:pt>
                <c:pt idx="27">
                  <c:v>0.11873520450040229</c:v>
                </c:pt>
                <c:pt idx="28">
                  <c:v>0.12218537015705794</c:v>
                </c:pt>
                <c:pt idx="29">
                  <c:v>0.12596488291506519</c:v>
                </c:pt>
                <c:pt idx="30">
                  <c:v>0.1301876529844018</c:v>
                </c:pt>
                <c:pt idx="31">
                  <c:v>0.13445188574432909</c:v>
                </c:pt>
                <c:pt idx="32">
                  <c:v>0.13903347024153531</c:v>
                </c:pt>
                <c:pt idx="33">
                  <c:v>0.14365785822120614</c:v>
                </c:pt>
                <c:pt idx="34">
                  <c:v>0.14890071782347072</c:v>
                </c:pt>
                <c:pt idx="35">
                  <c:v>0.15400328044175035</c:v>
                </c:pt>
                <c:pt idx="36">
                  <c:v>0.15995666939650605</c:v>
                </c:pt>
                <c:pt idx="37">
                  <c:v>0.1660246287200938</c:v>
                </c:pt>
                <c:pt idx="38">
                  <c:v>0.17232062733863812</c:v>
                </c:pt>
                <c:pt idx="39">
                  <c:v>0.17856508404578156</c:v>
                </c:pt>
                <c:pt idx="40">
                  <c:v>0.18484745741955411</c:v>
                </c:pt>
                <c:pt idx="41">
                  <c:v>0.19137721673105668</c:v>
                </c:pt>
                <c:pt idx="42">
                  <c:v>0.1976162889212093</c:v>
                </c:pt>
                <c:pt idx="43">
                  <c:v>0.20474581741911715</c:v>
                </c:pt>
                <c:pt idx="44">
                  <c:v>0.2109130849119713</c:v>
                </c:pt>
                <c:pt idx="45">
                  <c:v>0.21744138544002564</c:v>
                </c:pt>
                <c:pt idx="46">
                  <c:v>0.22396747585407553</c:v>
                </c:pt>
                <c:pt idx="47">
                  <c:v>0.23065960529697815</c:v>
                </c:pt>
                <c:pt idx="48">
                  <c:v>0.23651210788074359</c:v>
                </c:pt>
                <c:pt idx="49">
                  <c:v>0.24227761374342383</c:v>
                </c:pt>
                <c:pt idx="50">
                  <c:v>0.2479515521805615</c:v>
                </c:pt>
                <c:pt idx="51">
                  <c:v>0.25297682254837212</c:v>
                </c:pt>
                <c:pt idx="52">
                  <c:v>0.25730628353721952</c:v>
                </c:pt>
                <c:pt idx="53">
                  <c:v>0.26073628038945984</c:v>
                </c:pt>
                <c:pt idx="54">
                  <c:v>0.26378681664812309</c:v>
                </c:pt>
                <c:pt idx="55">
                  <c:v>0.26629728879553488</c:v>
                </c:pt>
                <c:pt idx="56">
                  <c:v>0.26833872416301491</c:v>
                </c:pt>
                <c:pt idx="57">
                  <c:v>0.26982357583651906</c:v>
                </c:pt>
                <c:pt idx="58">
                  <c:v>0.27026840471296448</c:v>
                </c:pt>
                <c:pt idx="59">
                  <c:v>0.26991250516977106</c:v>
                </c:pt>
                <c:pt idx="60">
                  <c:v>0.26877396977352802</c:v>
                </c:pt>
                <c:pt idx="61">
                  <c:v>0.2672766231869485</c:v>
                </c:pt>
                <c:pt idx="62">
                  <c:v>0.2646486548312087</c:v>
                </c:pt>
                <c:pt idx="63">
                  <c:v>0.26105304667829982</c:v>
                </c:pt>
                <c:pt idx="64">
                  <c:v>0.25696084519506684</c:v>
                </c:pt>
                <c:pt idx="65">
                  <c:v>0.25195934790981828</c:v>
                </c:pt>
                <c:pt idx="66">
                  <c:v>0.24663912385664821</c:v>
                </c:pt>
                <c:pt idx="67">
                  <c:v>0.24006788257014874</c:v>
                </c:pt>
                <c:pt idx="68">
                  <c:v>0.23336411368973245</c:v>
                </c:pt>
                <c:pt idx="69">
                  <c:v>0.22668173399626199</c:v>
                </c:pt>
                <c:pt idx="70">
                  <c:v>0.21989160277667055</c:v>
                </c:pt>
                <c:pt idx="71">
                  <c:v>0.21265998274302719</c:v>
                </c:pt>
                <c:pt idx="72">
                  <c:v>0.20563047683501787</c:v>
                </c:pt>
                <c:pt idx="73">
                  <c:v>0.19840422747369771</c:v>
                </c:pt>
                <c:pt idx="74">
                  <c:v>0.19172824361049157</c:v>
                </c:pt>
                <c:pt idx="75">
                  <c:v>0.1851666351521247</c:v>
                </c:pt>
                <c:pt idx="76">
                  <c:v>0.17859129135845891</c:v>
                </c:pt>
                <c:pt idx="77">
                  <c:v>0.17273414270613557</c:v>
                </c:pt>
                <c:pt idx="78">
                  <c:v>0.16723569505946853</c:v>
                </c:pt>
                <c:pt idx="79">
                  <c:v>0.16232319687766583</c:v>
                </c:pt>
                <c:pt idx="80">
                  <c:v>0.15761545358160356</c:v>
                </c:pt>
                <c:pt idx="81">
                  <c:v>0.15313735083113128</c:v>
                </c:pt>
                <c:pt idx="82">
                  <c:v>0.14964788604172205</c:v>
                </c:pt>
                <c:pt idx="83">
                  <c:v>0.14669124636619305</c:v>
                </c:pt>
                <c:pt idx="84">
                  <c:v>0.1436639039017111</c:v>
                </c:pt>
                <c:pt idx="85">
                  <c:v>0.14154100653848692</c:v>
                </c:pt>
                <c:pt idx="86">
                  <c:v>0.13943442285177915</c:v>
                </c:pt>
                <c:pt idx="87">
                  <c:v>0.1376956532128791</c:v>
                </c:pt>
                <c:pt idx="88">
                  <c:v>0.13677233814426185</c:v>
                </c:pt>
                <c:pt idx="89">
                  <c:v>0.13561946422401142</c:v>
                </c:pt>
                <c:pt idx="90">
                  <c:v>0.13471239257808784</c:v>
                </c:pt>
                <c:pt idx="91">
                  <c:v>0.13429802330567989</c:v>
                </c:pt>
                <c:pt idx="92">
                  <c:v>0.1338840490146633</c:v>
                </c:pt>
                <c:pt idx="93">
                  <c:v>0.13348818573687538</c:v>
                </c:pt>
                <c:pt idx="94">
                  <c:v>0.13303958315506331</c:v>
                </c:pt>
                <c:pt idx="95">
                  <c:v>0.13289211774312745</c:v>
                </c:pt>
                <c:pt idx="96">
                  <c:v>0.13240878235778794</c:v>
                </c:pt>
                <c:pt idx="97">
                  <c:v>0.13220853265415727</c:v>
                </c:pt>
                <c:pt idx="98">
                  <c:v>0.13179654436288391</c:v>
                </c:pt>
                <c:pt idx="99">
                  <c:v>0.1315025061106882</c:v>
                </c:pt>
                <c:pt idx="100">
                  <c:v>0.13085045186315813</c:v>
                </c:pt>
                <c:pt idx="101">
                  <c:v>0.13031075149741031</c:v>
                </c:pt>
                <c:pt idx="102">
                  <c:v>0.13002357589080243</c:v>
                </c:pt>
                <c:pt idx="103">
                  <c:v>0.1286956629026248</c:v>
                </c:pt>
                <c:pt idx="104">
                  <c:v>0.12777377941134391</c:v>
                </c:pt>
                <c:pt idx="105">
                  <c:v>0.12665032991499409</c:v>
                </c:pt>
                <c:pt idx="106">
                  <c:v>0.12543121614560485</c:v>
                </c:pt>
                <c:pt idx="107">
                  <c:v>0.12381103633126504</c:v>
                </c:pt>
                <c:pt idx="108">
                  <c:v>0.12200703285032972</c:v>
                </c:pt>
                <c:pt idx="109">
                  <c:v>0.11999861167823091</c:v>
                </c:pt>
                <c:pt idx="110">
                  <c:v>0.1177259793336379</c:v>
                </c:pt>
                <c:pt idx="111">
                  <c:v>0.11569186264951689</c:v>
                </c:pt>
                <c:pt idx="112">
                  <c:v>0.11363901853155266</c:v>
                </c:pt>
                <c:pt idx="113">
                  <c:v>0.11113000457217603</c:v>
                </c:pt>
                <c:pt idx="114">
                  <c:v>0.10881949060408948</c:v>
                </c:pt>
                <c:pt idx="115">
                  <c:v>0.1062548778961537</c:v>
                </c:pt>
                <c:pt idx="116">
                  <c:v>0.10408045468998404</c:v>
                </c:pt>
                <c:pt idx="117">
                  <c:v>0.10127481841050648</c:v>
                </c:pt>
                <c:pt idx="118">
                  <c:v>9.868882964105917E-2</c:v>
                </c:pt>
                <c:pt idx="119">
                  <c:v>9.6665791042975888E-2</c:v>
                </c:pt>
                <c:pt idx="120">
                  <c:v>9.4171751063349879E-2</c:v>
                </c:pt>
              </c:numCache>
            </c:numRef>
          </c:yVal>
          <c:smooth val="1"/>
          <c:extLst>
            <c:ext xmlns:c16="http://schemas.microsoft.com/office/drawing/2014/chart" uri="{C3380CC4-5D6E-409C-BE32-E72D297353CC}">
              <c16:uniqueId val="{00000000-CD0F-45FB-8E23-6FF908A18004}"/>
            </c:ext>
          </c:extLst>
        </c:ser>
        <c:ser>
          <c:idx val="1"/>
          <c:order val="1"/>
          <c:tx>
            <c:v>Pico 7 -  CAL1</c:v>
          </c:tx>
          <c:spPr>
            <a:ln>
              <a:solidFill>
                <a:srgbClr val="FF0000"/>
              </a:solidFill>
            </a:ln>
          </c:spPr>
          <c:marker>
            <c:symbol val="none"/>
          </c:marker>
          <c:trendline>
            <c:trendlineType val="poly"/>
            <c:order val="6"/>
            <c:dispRSqr val="1"/>
            <c:dispEq val="1"/>
            <c:trendlineLbl>
              <c:layout>
                <c:manualLayout>
                  <c:x val="0.10732714138286892"/>
                  <c:y val="-0.37428386192761759"/>
                </c:manualLayout>
              </c:layout>
              <c:numFmt formatCode="0.000000000000000E+00" sourceLinked="0"/>
            </c:trendlineLbl>
          </c:trendline>
          <c:xVal>
            <c:numRef>
              <c:f>'Registro Tratado'!$B$186:$B$192</c:f>
              <c:numCache>
                <c:formatCode>0.0</c:formatCode>
                <c:ptCount val="7"/>
                <c:pt idx="0">
                  <c:v>422</c:v>
                </c:pt>
                <c:pt idx="1">
                  <c:v>421</c:v>
                </c:pt>
                <c:pt idx="2">
                  <c:v>420</c:v>
                </c:pt>
                <c:pt idx="3">
                  <c:v>419</c:v>
                </c:pt>
                <c:pt idx="4">
                  <c:v>418</c:v>
                </c:pt>
                <c:pt idx="5">
                  <c:v>417</c:v>
                </c:pt>
                <c:pt idx="6">
                  <c:v>416</c:v>
                </c:pt>
              </c:numCache>
            </c:numRef>
          </c:xVal>
          <c:yVal>
            <c:numRef>
              <c:f>'Registro Tratado'!$C$186:$C$192</c:f>
              <c:numCache>
                <c:formatCode>0.000</c:formatCode>
                <c:ptCount val="7"/>
                <c:pt idx="0">
                  <c:v>0.122</c:v>
                </c:pt>
                <c:pt idx="1">
                  <c:v>0.14199999999999999</c:v>
                </c:pt>
                <c:pt idx="2">
                  <c:v>0.16600000000000001</c:v>
                </c:pt>
                <c:pt idx="3">
                  <c:v>0.17499999999999999</c:v>
                </c:pt>
                <c:pt idx="4">
                  <c:v>0.17100000000000001</c:v>
                </c:pt>
                <c:pt idx="5">
                  <c:v>0.14899999999999999</c:v>
                </c:pt>
                <c:pt idx="6">
                  <c:v>0.128</c:v>
                </c:pt>
              </c:numCache>
            </c:numRef>
          </c:yVal>
          <c:smooth val="1"/>
          <c:extLst>
            <c:ext xmlns:c16="http://schemas.microsoft.com/office/drawing/2014/chart" uri="{C3380CC4-5D6E-409C-BE32-E72D297353CC}">
              <c16:uniqueId val="{00000001-CD0F-45FB-8E23-6FF908A18004}"/>
            </c:ext>
          </c:extLst>
        </c:ser>
        <c:ser>
          <c:idx val="2"/>
          <c:order val="2"/>
          <c:tx>
            <c:v>Pico 7 - Largura de banda</c:v>
          </c:tx>
          <c:spPr>
            <a:ln w="15875">
              <a:solidFill>
                <a:srgbClr val="FFC000"/>
              </a:solidFill>
            </a:ln>
          </c:spPr>
          <c:marker>
            <c:symbol val="none"/>
          </c:marker>
          <c:xVal>
            <c:numRef>
              <c:f>'Registro Tratado'!$AH$179:$CP$179</c:f>
              <c:numCache>
                <c:formatCode>0.0</c:formatCode>
                <c:ptCount val="61"/>
                <c:pt idx="0">
                  <c:v>412.5</c:v>
                </c:pt>
                <c:pt idx="1">
                  <c:v>412.7</c:v>
                </c:pt>
                <c:pt idx="2">
                  <c:v>412.9</c:v>
                </c:pt>
                <c:pt idx="3">
                  <c:v>413.09999999999997</c:v>
                </c:pt>
                <c:pt idx="4">
                  <c:v>413.29999999999995</c:v>
                </c:pt>
                <c:pt idx="5">
                  <c:v>413.49999999999994</c:v>
                </c:pt>
                <c:pt idx="6">
                  <c:v>413.69999999999993</c:v>
                </c:pt>
                <c:pt idx="7">
                  <c:v>413.89999999999992</c:v>
                </c:pt>
                <c:pt idx="8">
                  <c:v>414.09999999999991</c:v>
                </c:pt>
                <c:pt idx="9">
                  <c:v>414.2999999999999</c:v>
                </c:pt>
                <c:pt idx="10">
                  <c:v>414.49999999999989</c:v>
                </c:pt>
                <c:pt idx="11">
                  <c:v>414.69999999999987</c:v>
                </c:pt>
                <c:pt idx="12">
                  <c:v>414.89999999999986</c:v>
                </c:pt>
                <c:pt idx="13">
                  <c:v>415.09999999999985</c:v>
                </c:pt>
                <c:pt idx="14">
                  <c:v>415.29999999999984</c:v>
                </c:pt>
                <c:pt idx="15">
                  <c:v>415.49999999999983</c:v>
                </c:pt>
                <c:pt idx="16">
                  <c:v>415.69999999999982</c:v>
                </c:pt>
                <c:pt idx="17">
                  <c:v>415.89999999999981</c:v>
                </c:pt>
                <c:pt idx="18">
                  <c:v>416.0999999999998</c:v>
                </c:pt>
                <c:pt idx="19">
                  <c:v>416.29999999999978</c:v>
                </c:pt>
                <c:pt idx="20">
                  <c:v>416.49999999999977</c:v>
                </c:pt>
                <c:pt idx="21">
                  <c:v>416.69999999999976</c:v>
                </c:pt>
                <c:pt idx="22">
                  <c:v>416.89999999999975</c:v>
                </c:pt>
                <c:pt idx="23">
                  <c:v>417.09999999999974</c:v>
                </c:pt>
                <c:pt idx="24">
                  <c:v>417.29999999999973</c:v>
                </c:pt>
                <c:pt idx="25">
                  <c:v>417.49999999999972</c:v>
                </c:pt>
                <c:pt idx="26">
                  <c:v>417.6999999999997</c:v>
                </c:pt>
                <c:pt idx="27">
                  <c:v>417.89999999999969</c:v>
                </c:pt>
                <c:pt idx="28">
                  <c:v>418.09999999999968</c:v>
                </c:pt>
                <c:pt idx="29">
                  <c:v>418.29999999999967</c:v>
                </c:pt>
                <c:pt idx="30">
                  <c:v>418.49999999999966</c:v>
                </c:pt>
                <c:pt idx="31">
                  <c:v>418.69999999999965</c:v>
                </c:pt>
                <c:pt idx="32">
                  <c:v>418.89999999999964</c:v>
                </c:pt>
                <c:pt idx="33">
                  <c:v>419.09999999999962</c:v>
                </c:pt>
                <c:pt idx="34">
                  <c:v>419.29999999999961</c:v>
                </c:pt>
                <c:pt idx="35">
                  <c:v>419.4999999999996</c:v>
                </c:pt>
                <c:pt idx="36">
                  <c:v>419.69999999999959</c:v>
                </c:pt>
                <c:pt idx="37">
                  <c:v>419.89999999999958</c:v>
                </c:pt>
                <c:pt idx="38">
                  <c:v>420.09999999999957</c:v>
                </c:pt>
                <c:pt idx="39">
                  <c:v>420.29999999999956</c:v>
                </c:pt>
                <c:pt idx="40">
                  <c:v>420.49999999999955</c:v>
                </c:pt>
                <c:pt idx="41">
                  <c:v>420.69999999999953</c:v>
                </c:pt>
                <c:pt idx="42">
                  <c:v>420.89999999999952</c:v>
                </c:pt>
                <c:pt idx="43">
                  <c:v>421.09999999999951</c:v>
                </c:pt>
                <c:pt idx="44">
                  <c:v>421.2999999999995</c:v>
                </c:pt>
                <c:pt idx="45">
                  <c:v>421.49999999999949</c:v>
                </c:pt>
                <c:pt idx="46">
                  <c:v>421.69999999999948</c:v>
                </c:pt>
                <c:pt idx="47">
                  <c:v>421.89999999999947</c:v>
                </c:pt>
                <c:pt idx="48">
                  <c:v>422.09999999999945</c:v>
                </c:pt>
                <c:pt idx="49">
                  <c:v>422.29999999999944</c:v>
                </c:pt>
                <c:pt idx="50">
                  <c:v>422.49999999999943</c:v>
                </c:pt>
                <c:pt idx="51">
                  <c:v>422.69999999999942</c:v>
                </c:pt>
                <c:pt idx="52">
                  <c:v>422.89999999999941</c:v>
                </c:pt>
                <c:pt idx="53">
                  <c:v>423.0999999999994</c:v>
                </c:pt>
                <c:pt idx="54">
                  <c:v>423.29999999999939</c:v>
                </c:pt>
                <c:pt idx="55">
                  <c:v>423.49999999999937</c:v>
                </c:pt>
                <c:pt idx="56">
                  <c:v>423.69999999999936</c:v>
                </c:pt>
                <c:pt idx="57">
                  <c:v>423.89999999999935</c:v>
                </c:pt>
                <c:pt idx="58">
                  <c:v>424.09999999999934</c:v>
                </c:pt>
                <c:pt idx="59">
                  <c:v>424.29999999999933</c:v>
                </c:pt>
                <c:pt idx="60">
                  <c:v>424.49999999999932</c:v>
                </c:pt>
              </c:numCache>
            </c:numRef>
          </c:xVal>
          <c:yVal>
            <c:numRef>
              <c:f>'Registro Tratado'!$AH$180:$CP$180</c:f>
              <c:numCache>
                <c:formatCode>0.0000</c:formatCode>
                <c:ptCount val="61"/>
                <c:pt idx="0">
                  <c:v>0.20249999999999999</c:v>
                </c:pt>
                <c:pt idx="1">
                  <c:v>0.20249999999999999</c:v>
                </c:pt>
                <c:pt idx="2">
                  <c:v>0.20249999999999999</c:v>
                </c:pt>
                <c:pt idx="3">
                  <c:v>0.20249999999999999</c:v>
                </c:pt>
                <c:pt idx="4">
                  <c:v>0.20249999999999999</c:v>
                </c:pt>
                <c:pt idx="5">
                  <c:v>0.20249999999999999</c:v>
                </c:pt>
                <c:pt idx="6">
                  <c:v>0.20249999999999999</c:v>
                </c:pt>
                <c:pt idx="7">
                  <c:v>0.20249999999999999</c:v>
                </c:pt>
                <c:pt idx="8">
                  <c:v>0.20249999999999999</c:v>
                </c:pt>
                <c:pt idx="9">
                  <c:v>0.20249999999999999</c:v>
                </c:pt>
                <c:pt idx="10">
                  <c:v>0.20249999999999999</c:v>
                </c:pt>
                <c:pt idx="11">
                  <c:v>0.20249999999999999</c:v>
                </c:pt>
                <c:pt idx="12">
                  <c:v>0.20249999999999999</c:v>
                </c:pt>
                <c:pt idx="13">
                  <c:v>0.20249999999999999</c:v>
                </c:pt>
                <c:pt idx="14">
                  <c:v>0.20249999999999999</c:v>
                </c:pt>
                <c:pt idx="15">
                  <c:v>0.20249999999999999</c:v>
                </c:pt>
                <c:pt idx="16">
                  <c:v>0.20249999999999999</c:v>
                </c:pt>
                <c:pt idx="17">
                  <c:v>0.20249999999999999</c:v>
                </c:pt>
                <c:pt idx="18">
                  <c:v>0.20249999999999999</c:v>
                </c:pt>
                <c:pt idx="19">
                  <c:v>0.20249999999999999</c:v>
                </c:pt>
                <c:pt idx="20">
                  <c:v>0.20249999999999999</c:v>
                </c:pt>
                <c:pt idx="21">
                  <c:v>0.20249999999999999</c:v>
                </c:pt>
                <c:pt idx="22">
                  <c:v>0.20249999999999999</c:v>
                </c:pt>
                <c:pt idx="23">
                  <c:v>0.20249999999999999</c:v>
                </c:pt>
                <c:pt idx="24">
                  <c:v>0.20249999999999999</c:v>
                </c:pt>
                <c:pt idx="25">
                  <c:v>0.20249999999999999</c:v>
                </c:pt>
                <c:pt idx="26">
                  <c:v>0.20249999999999999</c:v>
                </c:pt>
                <c:pt idx="27">
                  <c:v>0.20249999999999999</c:v>
                </c:pt>
                <c:pt idx="28">
                  <c:v>0.20249999999999999</c:v>
                </c:pt>
                <c:pt idx="29">
                  <c:v>0.20249999999999999</c:v>
                </c:pt>
                <c:pt idx="30">
                  <c:v>0.20249999999999999</c:v>
                </c:pt>
                <c:pt idx="31">
                  <c:v>0.20249999999999999</c:v>
                </c:pt>
                <c:pt idx="32">
                  <c:v>0.20249999999999999</c:v>
                </c:pt>
                <c:pt idx="33">
                  <c:v>0.20249999999999999</c:v>
                </c:pt>
                <c:pt idx="34">
                  <c:v>0.20249999999999999</c:v>
                </c:pt>
                <c:pt idx="35">
                  <c:v>0.20249999999999999</c:v>
                </c:pt>
                <c:pt idx="36">
                  <c:v>0.20249999999999999</c:v>
                </c:pt>
                <c:pt idx="37">
                  <c:v>0.20249999999999999</c:v>
                </c:pt>
                <c:pt idx="38">
                  <c:v>0.20249999999999999</c:v>
                </c:pt>
                <c:pt idx="39">
                  <c:v>0.20249999999999999</c:v>
                </c:pt>
                <c:pt idx="40">
                  <c:v>0.20249999999999999</c:v>
                </c:pt>
                <c:pt idx="41">
                  <c:v>0.20249999999999999</c:v>
                </c:pt>
                <c:pt idx="42">
                  <c:v>0.20249999999999999</c:v>
                </c:pt>
                <c:pt idx="43">
                  <c:v>0.20249999999999999</c:v>
                </c:pt>
                <c:pt idx="44">
                  <c:v>0.20249999999999999</c:v>
                </c:pt>
                <c:pt idx="45">
                  <c:v>0.20249999999999999</c:v>
                </c:pt>
                <c:pt idx="46">
                  <c:v>0.20249999999999999</c:v>
                </c:pt>
                <c:pt idx="47">
                  <c:v>0.20249999999999999</c:v>
                </c:pt>
                <c:pt idx="48">
                  <c:v>0.20249999999999999</c:v>
                </c:pt>
                <c:pt idx="49">
                  <c:v>0.20249999999999999</c:v>
                </c:pt>
                <c:pt idx="50">
                  <c:v>0.20249999999999999</c:v>
                </c:pt>
                <c:pt idx="51">
                  <c:v>0.20249999999999999</c:v>
                </c:pt>
                <c:pt idx="52">
                  <c:v>0.20249999999999999</c:v>
                </c:pt>
                <c:pt idx="53">
                  <c:v>0.20249999999999999</c:v>
                </c:pt>
                <c:pt idx="54">
                  <c:v>0.20249999999999999</c:v>
                </c:pt>
                <c:pt idx="55">
                  <c:v>0.20249999999999999</c:v>
                </c:pt>
                <c:pt idx="56">
                  <c:v>0.20249999999999999</c:v>
                </c:pt>
                <c:pt idx="57">
                  <c:v>0.20249999999999999</c:v>
                </c:pt>
                <c:pt idx="58">
                  <c:v>0.20249999999999999</c:v>
                </c:pt>
                <c:pt idx="59">
                  <c:v>0.20249999999999999</c:v>
                </c:pt>
                <c:pt idx="60">
                  <c:v>0.20249999999999999</c:v>
                </c:pt>
              </c:numCache>
            </c:numRef>
          </c:yVal>
          <c:smooth val="1"/>
          <c:extLst>
            <c:ext xmlns:c16="http://schemas.microsoft.com/office/drawing/2014/chart" uri="{C3380CC4-5D6E-409C-BE32-E72D297353CC}">
              <c16:uniqueId val="{00000002-CD0F-45FB-8E23-6FF908A18004}"/>
            </c:ext>
          </c:extLst>
        </c:ser>
        <c:ser>
          <c:idx val="3"/>
          <c:order val="3"/>
          <c:tx>
            <c:v>Pico 7 - CAL2</c:v>
          </c:tx>
          <c:spPr>
            <a:ln>
              <a:solidFill>
                <a:srgbClr val="00B050"/>
              </a:solidFill>
            </a:ln>
          </c:spPr>
          <c:marker>
            <c:symbol val="none"/>
          </c:marker>
          <c:trendline>
            <c:trendlineType val="poly"/>
            <c:order val="6"/>
            <c:dispRSqr val="1"/>
            <c:dispEq val="1"/>
            <c:trendlineLbl>
              <c:layout>
                <c:manualLayout>
                  <c:x val="0.10732714138286892"/>
                  <c:y val="8.7975447292196043E-2"/>
                </c:manualLayout>
              </c:layout>
              <c:numFmt formatCode="0.000000000000000E+00" sourceLinked="0"/>
            </c:trendlineLbl>
          </c:trendline>
          <c:xVal>
            <c:numRef>
              <c:f>'Registro Tratado'!$E$186:$E$192</c:f>
              <c:numCache>
                <c:formatCode>0.0</c:formatCode>
                <c:ptCount val="7"/>
                <c:pt idx="0">
                  <c:v>421.5</c:v>
                </c:pt>
                <c:pt idx="1">
                  <c:v>420.5</c:v>
                </c:pt>
                <c:pt idx="2">
                  <c:v>419.5</c:v>
                </c:pt>
                <c:pt idx="3">
                  <c:v>419</c:v>
                </c:pt>
                <c:pt idx="4">
                  <c:v>418.5</c:v>
                </c:pt>
                <c:pt idx="5">
                  <c:v>418</c:v>
                </c:pt>
                <c:pt idx="6">
                  <c:v>417.5</c:v>
                </c:pt>
              </c:numCache>
            </c:numRef>
          </c:xVal>
          <c:yVal>
            <c:numRef>
              <c:f>'Registro Tratado'!$F$186:$F$192</c:f>
              <c:numCache>
                <c:formatCode>0.000</c:formatCode>
                <c:ptCount val="7"/>
                <c:pt idx="0">
                  <c:v>0.127</c:v>
                </c:pt>
                <c:pt idx="1">
                  <c:v>0.14799999999999999</c:v>
                </c:pt>
                <c:pt idx="2">
                  <c:v>0.16900000000000001</c:v>
                </c:pt>
                <c:pt idx="3">
                  <c:v>0.17499999999999999</c:v>
                </c:pt>
                <c:pt idx="4">
                  <c:v>0.16600000000000001</c:v>
                </c:pt>
                <c:pt idx="5">
                  <c:v>0.14299999999999999</c:v>
                </c:pt>
                <c:pt idx="6">
                  <c:v>0.122</c:v>
                </c:pt>
              </c:numCache>
            </c:numRef>
          </c:yVal>
          <c:smooth val="1"/>
          <c:extLst>
            <c:ext xmlns:c16="http://schemas.microsoft.com/office/drawing/2014/chart" uri="{C3380CC4-5D6E-409C-BE32-E72D297353CC}">
              <c16:uniqueId val="{00000003-CD0F-45FB-8E23-6FF908A18004}"/>
            </c:ext>
          </c:extLst>
        </c:ser>
        <c:dLbls>
          <c:showLegendKey val="0"/>
          <c:showVal val="0"/>
          <c:showCatName val="0"/>
          <c:showSerName val="0"/>
          <c:showPercent val="0"/>
          <c:showBubbleSize val="0"/>
        </c:dLbls>
        <c:axId val="77313152"/>
        <c:axId val="77315072"/>
      </c:scatterChart>
      <c:valAx>
        <c:axId val="77313152"/>
        <c:scaling>
          <c:orientation val="minMax"/>
          <c:max val="424.5"/>
          <c:min val="412.5"/>
        </c:scaling>
        <c:delete val="0"/>
        <c:axPos val="t"/>
        <c:title>
          <c:tx>
            <c:rich>
              <a:bodyPr/>
              <a:lstStyle/>
              <a:p>
                <a:pPr>
                  <a:defRPr sz="1000" b="1" i="0" u="none" strike="noStrike" baseline="0">
                    <a:solidFill>
                      <a:srgbClr val="000000"/>
                    </a:solidFill>
                    <a:latin typeface="Arial"/>
                    <a:ea typeface="Arial"/>
                    <a:cs typeface="Arial"/>
                  </a:defRPr>
                </a:pPr>
                <a:r>
                  <a:rPr lang="pt-BR"/>
                  <a:t>Comprimento</a:t>
                </a:r>
                <a:r>
                  <a:rPr lang="pt-BR" baseline="0"/>
                  <a:t> de Onda</a:t>
                </a:r>
                <a:r>
                  <a:rPr lang="pt-BR"/>
                  <a:t> [nm]</a:t>
                </a:r>
              </a:p>
            </c:rich>
          </c:tx>
          <c:layout>
            <c:manualLayout>
              <c:xMode val="edge"/>
              <c:yMode val="edge"/>
              <c:x val="0.43979123805746739"/>
              <c:y val="0.89920444207422279"/>
            </c:manualLayout>
          </c:layout>
          <c:overlay val="0"/>
          <c:spPr>
            <a:noFill/>
            <a:ln w="25400">
              <a:noFill/>
            </a:ln>
          </c:spPr>
        </c:title>
        <c:numFmt formatCode="0.0" sourceLinked="0"/>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pt-BR"/>
          </a:p>
        </c:txPr>
        <c:crossAx val="77315072"/>
        <c:crosses val="max"/>
        <c:crossBetween val="midCat"/>
        <c:majorUnit val="1"/>
        <c:minorUnit val="0.2"/>
      </c:valAx>
      <c:valAx>
        <c:axId val="77315072"/>
        <c:scaling>
          <c:orientation val="minMax"/>
          <c:max val="0.29000000000000015"/>
          <c:min val="9.0000000000000024E-2"/>
        </c:scaling>
        <c:delete val="0"/>
        <c:axPos val="l"/>
        <c:majorGridlines>
          <c:spPr>
            <a:ln w="3175">
              <a:solidFill>
                <a:schemeClr val="bg1">
                  <a:lumMod val="65000"/>
                </a:schemeClr>
              </a:solidFill>
              <a:prstDash val="solid"/>
            </a:ln>
          </c:spPr>
        </c:majorGridlines>
        <c:title>
          <c:tx>
            <c:rich>
              <a:bodyPr/>
              <a:lstStyle/>
              <a:p>
                <a:pPr>
                  <a:defRPr sz="1000" b="1" i="0" u="none" strike="noStrike" baseline="0">
                    <a:solidFill>
                      <a:srgbClr val="000000"/>
                    </a:solidFill>
                    <a:latin typeface="Arial"/>
                    <a:ea typeface="Arial"/>
                    <a:cs typeface="Arial"/>
                  </a:defRPr>
                </a:pPr>
                <a:r>
                  <a:rPr lang="pt-BR"/>
                  <a:t>Absorbância </a:t>
                </a:r>
              </a:p>
            </c:rich>
          </c:tx>
          <c:layout>
            <c:manualLayout>
              <c:xMode val="edge"/>
              <c:yMode val="edge"/>
              <c:x val="1.8593473297474759E-2"/>
              <c:y val="0.33554224048687142"/>
            </c:manualLayout>
          </c:layout>
          <c:overlay val="0"/>
          <c:spPr>
            <a:noFill/>
            <a:ln w="25400">
              <a:noFill/>
            </a:ln>
          </c:spPr>
        </c:title>
        <c:numFmt formatCode="0.00" sourceLinked="0"/>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pt-BR"/>
          </a:p>
        </c:txPr>
        <c:crossAx val="77313152"/>
        <c:crossesAt val="284"/>
        <c:crossBetween val="midCat"/>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pt-BR"/>
    </a:p>
  </c:txPr>
  <c:printSettings>
    <c:headerFooter alignWithMargins="0"/>
    <c:pageMargins b="0.98425196899999978" l="0.78740157499999996" r="0.78740157499999996" t="0.98425196899999978" header="0.5" footer="0.5"/>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b="1"/>
              <a:t>Pico 5</a:t>
            </a:r>
            <a:r>
              <a:rPr lang="en-US" sz="1100" b="1" baseline="0"/>
              <a:t>  -  360,8 nm</a:t>
            </a:r>
            <a:endParaRPr lang="en-US" sz="1100" b="1"/>
          </a:p>
        </c:rich>
      </c:tx>
      <c:layout>
        <c:manualLayout>
          <c:xMode val="edge"/>
          <c:yMode val="edge"/>
          <c:x val="0.55327533166433962"/>
          <c:y val="0.18904686012444843"/>
        </c:manualLayout>
      </c:layout>
      <c:overlay val="0"/>
    </c:title>
    <c:autoTitleDeleted val="0"/>
    <c:plotArea>
      <c:layout>
        <c:manualLayout>
          <c:layoutTarget val="inner"/>
          <c:xMode val="edge"/>
          <c:yMode val="edge"/>
          <c:x val="7.5306842458646203E-2"/>
          <c:y val="6.8965474271205723E-2"/>
          <c:w val="0.81675531869566498"/>
          <c:h val="0.74801061007957614"/>
        </c:manualLayout>
      </c:layout>
      <c:scatterChart>
        <c:scatterStyle val="smoothMarker"/>
        <c:varyColors val="0"/>
        <c:ser>
          <c:idx val="0"/>
          <c:order val="0"/>
          <c:tx>
            <c:v>Pico 5</c:v>
          </c:tx>
          <c:spPr>
            <a:ln w="12700">
              <a:solidFill>
                <a:srgbClr val="000080"/>
              </a:solidFill>
              <a:prstDash val="solid"/>
            </a:ln>
          </c:spPr>
          <c:marker>
            <c:symbol val="none"/>
          </c:marker>
          <c:xVal>
            <c:numRef>
              <c:f>'Registro Tratado'!$AD$3137:$AD$3257</c:f>
              <c:numCache>
                <c:formatCode>0.0</c:formatCode>
                <c:ptCount val="121"/>
                <c:pt idx="0">
                  <c:v>366.8</c:v>
                </c:pt>
                <c:pt idx="1">
                  <c:v>366.7</c:v>
                </c:pt>
                <c:pt idx="2">
                  <c:v>366.6</c:v>
                </c:pt>
                <c:pt idx="3">
                  <c:v>366.5</c:v>
                </c:pt>
                <c:pt idx="4">
                  <c:v>366.4</c:v>
                </c:pt>
                <c:pt idx="5">
                  <c:v>366.3</c:v>
                </c:pt>
                <c:pt idx="6">
                  <c:v>366.2</c:v>
                </c:pt>
                <c:pt idx="7">
                  <c:v>366.1</c:v>
                </c:pt>
                <c:pt idx="8">
                  <c:v>366</c:v>
                </c:pt>
                <c:pt idx="9">
                  <c:v>365.9</c:v>
                </c:pt>
                <c:pt idx="10">
                  <c:v>365.8</c:v>
                </c:pt>
                <c:pt idx="11">
                  <c:v>365.7</c:v>
                </c:pt>
                <c:pt idx="12">
                  <c:v>365.6</c:v>
                </c:pt>
                <c:pt idx="13">
                  <c:v>365.5</c:v>
                </c:pt>
                <c:pt idx="14">
                  <c:v>365.4</c:v>
                </c:pt>
                <c:pt idx="15">
                  <c:v>365.3</c:v>
                </c:pt>
                <c:pt idx="16">
                  <c:v>365.2</c:v>
                </c:pt>
                <c:pt idx="17">
                  <c:v>365.1</c:v>
                </c:pt>
                <c:pt idx="18">
                  <c:v>365</c:v>
                </c:pt>
                <c:pt idx="19">
                  <c:v>364.9</c:v>
                </c:pt>
                <c:pt idx="20">
                  <c:v>364.8</c:v>
                </c:pt>
                <c:pt idx="21">
                  <c:v>364.7</c:v>
                </c:pt>
                <c:pt idx="22">
                  <c:v>364.6</c:v>
                </c:pt>
                <c:pt idx="23">
                  <c:v>364.5</c:v>
                </c:pt>
                <c:pt idx="24">
                  <c:v>364.4</c:v>
                </c:pt>
                <c:pt idx="25">
                  <c:v>364.3</c:v>
                </c:pt>
                <c:pt idx="26">
                  <c:v>364.2</c:v>
                </c:pt>
                <c:pt idx="27">
                  <c:v>364.1</c:v>
                </c:pt>
                <c:pt idx="28">
                  <c:v>364</c:v>
                </c:pt>
                <c:pt idx="29">
                  <c:v>363.9</c:v>
                </c:pt>
                <c:pt idx="30">
                  <c:v>363.8</c:v>
                </c:pt>
                <c:pt idx="31">
                  <c:v>363.7</c:v>
                </c:pt>
                <c:pt idx="32">
                  <c:v>363.6</c:v>
                </c:pt>
                <c:pt idx="33">
                  <c:v>363.5</c:v>
                </c:pt>
                <c:pt idx="34">
                  <c:v>363.4</c:v>
                </c:pt>
                <c:pt idx="35">
                  <c:v>363.3</c:v>
                </c:pt>
                <c:pt idx="36">
                  <c:v>363.2</c:v>
                </c:pt>
                <c:pt idx="37">
                  <c:v>363.1</c:v>
                </c:pt>
                <c:pt idx="38">
                  <c:v>363</c:v>
                </c:pt>
                <c:pt idx="39">
                  <c:v>362.9</c:v>
                </c:pt>
                <c:pt idx="40">
                  <c:v>362.8</c:v>
                </c:pt>
                <c:pt idx="41">
                  <c:v>362.7</c:v>
                </c:pt>
                <c:pt idx="42">
                  <c:v>362.6</c:v>
                </c:pt>
                <c:pt idx="43">
                  <c:v>362.5</c:v>
                </c:pt>
                <c:pt idx="44">
                  <c:v>362.4</c:v>
                </c:pt>
                <c:pt idx="45">
                  <c:v>362.3</c:v>
                </c:pt>
                <c:pt idx="46">
                  <c:v>362.2</c:v>
                </c:pt>
                <c:pt idx="47">
                  <c:v>362.1</c:v>
                </c:pt>
                <c:pt idx="48">
                  <c:v>362</c:v>
                </c:pt>
                <c:pt idx="49">
                  <c:v>361.9</c:v>
                </c:pt>
                <c:pt idx="50">
                  <c:v>361.8</c:v>
                </c:pt>
                <c:pt idx="51">
                  <c:v>361.7</c:v>
                </c:pt>
                <c:pt idx="52">
                  <c:v>361.6</c:v>
                </c:pt>
                <c:pt idx="53">
                  <c:v>361.5</c:v>
                </c:pt>
                <c:pt idx="54">
                  <c:v>361.4</c:v>
                </c:pt>
                <c:pt idx="55">
                  <c:v>361.3</c:v>
                </c:pt>
                <c:pt idx="56">
                  <c:v>361.2</c:v>
                </c:pt>
                <c:pt idx="57">
                  <c:v>361.1</c:v>
                </c:pt>
                <c:pt idx="58">
                  <c:v>361</c:v>
                </c:pt>
                <c:pt idx="59">
                  <c:v>360.9</c:v>
                </c:pt>
                <c:pt idx="60">
                  <c:v>360.8</c:v>
                </c:pt>
                <c:pt idx="61">
                  <c:v>360.7</c:v>
                </c:pt>
                <c:pt idx="62">
                  <c:v>360.6</c:v>
                </c:pt>
                <c:pt idx="63">
                  <c:v>360.5</c:v>
                </c:pt>
                <c:pt idx="64">
                  <c:v>360.4</c:v>
                </c:pt>
                <c:pt idx="65">
                  <c:v>360.3</c:v>
                </c:pt>
                <c:pt idx="66">
                  <c:v>360.2</c:v>
                </c:pt>
                <c:pt idx="67">
                  <c:v>360.1</c:v>
                </c:pt>
                <c:pt idx="68">
                  <c:v>360</c:v>
                </c:pt>
                <c:pt idx="69">
                  <c:v>359.9</c:v>
                </c:pt>
                <c:pt idx="70">
                  <c:v>359.8</c:v>
                </c:pt>
                <c:pt idx="71">
                  <c:v>359.7</c:v>
                </c:pt>
                <c:pt idx="72">
                  <c:v>359.6</c:v>
                </c:pt>
                <c:pt idx="73">
                  <c:v>359.5</c:v>
                </c:pt>
                <c:pt idx="74">
                  <c:v>359.4</c:v>
                </c:pt>
                <c:pt idx="75">
                  <c:v>359.3</c:v>
                </c:pt>
                <c:pt idx="76">
                  <c:v>359.2</c:v>
                </c:pt>
                <c:pt idx="77">
                  <c:v>359.1</c:v>
                </c:pt>
                <c:pt idx="78">
                  <c:v>359</c:v>
                </c:pt>
                <c:pt idx="79">
                  <c:v>358.9</c:v>
                </c:pt>
                <c:pt idx="80">
                  <c:v>358.8</c:v>
                </c:pt>
                <c:pt idx="81">
                  <c:v>358.7</c:v>
                </c:pt>
                <c:pt idx="82">
                  <c:v>358.6</c:v>
                </c:pt>
                <c:pt idx="83">
                  <c:v>358.5</c:v>
                </c:pt>
                <c:pt idx="84">
                  <c:v>358.4</c:v>
                </c:pt>
                <c:pt idx="85">
                  <c:v>358.3</c:v>
                </c:pt>
                <c:pt idx="86">
                  <c:v>358.2</c:v>
                </c:pt>
                <c:pt idx="87">
                  <c:v>358.1</c:v>
                </c:pt>
                <c:pt idx="88">
                  <c:v>358</c:v>
                </c:pt>
                <c:pt idx="89">
                  <c:v>357.9</c:v>
                </c:pt>
                <c:pt idx="90">
                  <c:v>357.8</c:v>
                </c:pt>
                <c:pt idx="91">
                  <c:v>357.7</c:v>
                </c:pt>
                <c:pt idx="92">
                  <c:v>357.6</c:v>
                </c:pt>
                <c:pt idx="93">
                  <c:v>357.5</c:v>
                </c:pt>
                <c:pt idx="94">
                  <c:v>357.4</c:v>
                </c:pt>
                <c:pt idx="95">
                  <c:v>357.3</c:v>
                </c:pt>
                <c:pt idx="96">
                  <c:v>357.2</c:v>
                </c:pt>
                <c:pt idx="97">
                  <c:v>357.1</c:v>
                </c:pt>
                <c:pt idx="98">
                  <c:v>357</c:v>
                </c:pt>
                <c:pt idx="99">
                  <c:v>356.9</c:v>
                </c:pt>
                <c:pt idx="100">
                  <c:v>356.8</c:v>
                </c:pt>
                <c:pt idx="101">
                  <c:v>356.7</c:v>
                </c:pt>
                <c:pt idx="102">
                  <c:v>356.6</c:v>
                </c:pt>
                <c:pt idx="103">
                  <c:v>356.5</c:v>
                </c:pt>
                <c:pt idx="104">
                  <c:v>356.4</c:v>
                </c:pt>
                <c:pt idx="105">
                  <c:v>356.3</c:v>
                </c:pt>
                <c:pt idx="106">
                  <c:v>356.2</c:v>
                </c:pt>
                <c:pt idx="107">
                  <c:v>356.1</c:v>
                </c:pt>
                <c:pt idx="108">
                  <c:v>356</c:v>
                </c:pt>
                <c:pt idx="109">
                  <c:v>355.9</c:v>
                </c:pt>
                <c:pt idx="110">
                  <c:v>355.8</c:v>
                </c:pt>
                <c:pt idx="111">
                  <c:v>355.7</c:v>
                </c:pt>
                <c:pt idx="112">
                  <c:v>355.6</c:v>
                </c:pt>
                <c:pt idx="113">
                  <c:v>355.5</c:v>
                </c:pt>
                <c:pt idx="114">
                  <c:v>355.4</c:v>
                </c:pt>
                <c:pt idx="115">
                  <c:v>355.3</c:v>
                </c:pt>
                <c:pt idx="116">
                  <c:v>355.2</c:v>
                </c:pt>
                <c:pt idx="117">
                  <c:v>355.1</c:v>
                </c:pt>
                <c:pt idx="118">
                  <c:v>355</c:v>
                </c:pt>
                <c:pt idx="119">
                  <c:v>354.9</c:v>
                </c:pt>
                <c:pt idx="120">
                  <c:v>354.8</c:v>
                </c:pt>
              </c:numCache>
            </c:numRef>
          </c:xVal>
          <c:yVal>
            <c:numRef>
              <c:f>'Registro Tratado'!$AF$3137:$AF$3257</c:f>
              <c:numCache>
                <c:formatCode>0.0000</c:formatCode>
                <c:ptCount val="121"/>
                <c:pt idx="0">
                  <c:v>0.13616580642174136</c:v>
                </c:pt>
                <c:pt idx="1">
                  <c:v>0.13857313066211613</c:v>
                </c:pt>
                <c:pt idx="2">
                  <c:v>0.14179376225107729</c:v>
                </c:pt>
                <c:pt idx="3">
                  <c:v>0.14525077884390342</c:v>
                </c:pt>
                <c:pt idx="4">
                  <c:v>0.14888847986695281</c:v>
                </c:pt>
                <c:pt idx="5">
                  <c:v>0.15293349005766319</c:v>
                </c:pt>
                <c:pt idx="6">
                  <c:v>0.15739700029751066</c:v>
                </c:pt>
                <c:pt idx="7">
                  <c:v>0.16207082479751672</c:v>
                </c:pt>
                <c:pt idx="8">
                  <c:v>0.16697407379167731</c:v>
                </c:pt>
                <c:pt idx="9">
                  <c:v>0.17233354373585846</c:v>
                </c:pt>
                <c:pt idx="10">
                  <c:v>0.1782179863708222</c:v>
                </c:pt>
                <c:pt idx="11">
                  <c:v>0.18454179871926496</c:v>
                </c:pt>
                <c:pt idx="12">
                  <c:v>0.19052109185522551</c:v>
                </c:pt>
                <c:pt idx="13">
                  <c:v>0.19716472552105849</c:v>
                </c:pt>
                <c:pt idx="14">
                  <c:v>0.20354362220264943</c:v>
                </c:pt>
                <c:pt idx="15">
                  <c:v>0.20994013626720223</c:v>
                </c:pt>
                <c:pt idx="16">
                  <c:v>0.21621786872970733</c:v>
                </c:pt>
                <c:pt idx="17">
                  <c:v>0.22226152547375563</c:v>
                </c:pt>
                <c:pt idx="18">
                  <c:v>0.22835373535012443</c:v>
                </c:pt>
                <c:pt idx="19">
                  <c:v>0.23369871545581342</c:v>
                </c:pt>
                <c:pt idx="20">
                  <c:v>0.23901992690217816</c:v>
                </c:pt>
                <c:pt idx="21">
                  <c:v>0.24375196383626985</c:v>
                </c:pt>
                <c:pt idx="22">
                  <c:v>0.24926795865878845</c:v>
                </c:pt>
                <c:pt idx="23">
                  <c:v>0.2542071855333452</c:v>
                </c:pt>
                <c:pt idx="24">
                  <c:v>0.25922689879602584</c:v>
                </c:pt>
                <c:pt idx="25">
                  <c:v>0.26424944305005316</c:v>
                </c:pt>
                <c:pt idx="26">
                  <c:v>0.27030077368383026</c:v>
                </c:pt>
                <c:pt idx="27">
                  <c:v>0.27638837118493853</c:v>
                </c:pt>
                <c:pt idx="28">
                  <c:v>0.28243766809747117</c:v>
                </c:pt>
                <c:pt idx="29">
                  <c:v>0.2896202749901326</c:v>
                </c:pt>
                <c:pt idx="30">
                  <c:v>0.29713022109847298</c:v>
                </c:pt>
                <c:pt idx="31">
                  <c:v>0.30482488948565672</c:v>
                </c:pt>
                <c:pt idx="32">
                  <c:v>0.31403445593959961</c:v>
                </c:pt>
                <c:pt idx="33">
                  <c:v>0.32317840665082653</c:v>
                </c:pt>
                <c:pt idx="34">
                  <c:v>0.3337535383548092</c:v>
                </c:pt>
                <c:pt idx="35">
                  <c:v>0.34425666469265448</c:v>
                </c:pt>
                <c:pt idx="36">
                  <c:v>0.35653745329683956</c:v>
                </c:pt>
                <c:pt idx="37">
                  <c:v>0.36892167912555601</c:v>
                </c:pt>
                <c:pt idx="38">
                  <c:v>0.38252785602780742</c:v>
                </c:pt>
                <c:pt idx="39">
                  <c:v>0.39762525925553949</c:v>
                </c:pt>
                <c:pt idx="40">
                  <c:v>0.41351396750647412</c:v>
                </c:pt>
                <c:pt idx="41">
                  <c:v>0.43007625420636347</c:v>
                </c:pt>
                <c:pt idx="42">
                  <c:v>0.44916039493421489</c:v>
                </c:pt>
                <c:pt idx="43">
                  <c:v>0.47022327224081084</c:v>
                </c:pt>
                <c:pt idx="44">
                  <c:v>0.49209018202971888</c:v>
                </c:pt>
                <c:pt idx="45">
                  <c:v>0.51604203509902635</c:v>
                </c:pt>
                <c:pt idx="46">
                  <c:v>0.54333037057624245</c:v>
                </c:pt>
                <c:pt idx="47">
                  <c:v>0.5751673467118692</c:v>
                </c:pt>
                <c:pt idx="48">
                  <c:v>0.60828879987862805</c:v>
                </c:pt>
                <c:pt idx="49">
                  <c:v>0.64627606241105096</c:v>
                </c:pt>
                <c:pt idx="50">
                  <c:v>0.68782264356022138</c:v>
                </c:pt>
                <c:pt idx="51">
                  <c:v>0.73494621149598527</c:v>
                </c:pt>
                <c:pt idx="52">
                  <c:v>0.78534156112008158</c:v>
                </c:pt>
                <c:pt idx="53">
                  <c:v>0.83794366263944786</c:v>
                </c:pt>
                <c:pt idx="54">
                  <c:v>0.89140115402643327</c:v>
                </c:pt>
                <c:pt idx="55">
                  <c:v>0.94443055993901037</c:v>
                </c:pt>
                <c:pt idx="56">
                  <c:v>0.99658255479780633</c:v>
                </c:pt>
                <c:pt idx="57">
                  <c:v>1.037739606816072</c:v>
                </c:pt>
                <c:pt idx="58">
                  <c:v>1.0664469149415781</c:v>
                </c:pt>
                <c:pt idx="59">
                  <c:v>1.0799027739215441</c:v>
                </c:pt>
                <c:pt idx="60">
                  <c:v>1.0749974923190224</c:v>
                </c:pt>
                <c:pt idx="61">
                  <c:v>1.0514110045701732</c:v>
                </c:pt>
                <c:pt idx="62">
                  <c:v>1.0130089352546952</c:v>
                </c:pt>
                <c:pt idx="63">
                  <c:v>0.96469035984319862</c:v>
                </c:pt>
                <c:pt idx="64">
                  <c:v>0.90745479239439364</c:v>
                </c:pt>
                <c:pt idx="65">
                  <c:v>0.84713094578298753</c:v>
                </c:pt>
                <c:pt idx="66">
                  <c:v>0.78645568146233324</c:v>
                </c:pt>
                <c:pt idx="67">
                  <c:v>0.73146882961317738</c:v>
                </c:pt>
                <c:pt idx="68">
                  <c:v>0.67786343590389708</c:v>
                </c:pt>
                <c:pt idx="69">
                  <c:v>0.62587513982027287</c:v>
                </c:pt>
                <c:pt idx="70">
                  <c:v>0.57704921877298121</c:v>
                </c:pt>
                <c:pt idx="71">
                  <c:v>0.53551045256602869</c:v>
                </c:pt>
                <c:pt idx="72">
                  <c:v>0.49460579971501345</c:v>
                </c:pt>
                <c:pt idx="73">
                  <c:v>0.45798418512941191</c:v>
                </c:pt>
                <c:pt idx="74">
                  <c:v>0.42285301517247492</c:v>
                </c:pt>
                <c:pt idx="75">
                  <c:v>0.39287752701064799</c:v>
                </c:pt>
                <c:pt idx="76">
                  <c:v>0.3657444680743035</c:v>
                </c:pt>
                <c:pt idx="77">
                  <c:v>0.341035157335565</c:v>
                </c:pt>
                <c:pt idx="78">
                  <c:v>0.31717827667250947</c:v>
                </c:pt>
                <c:pt idx="79">
                  <c:v>0.29641632398276768</c:v>
                </c:pt>
                <c:pt idx="80">
                  <c:v>0.2782635590593861</c:v>
                </c:pt>
                <c:pt idx="81">
                  <c:v>0.26312563835157754</c:v>
                </c:pt>
                <c:pt idx="82">
                  <c:v>0.24807455564577605</c:v>
                </c:pt>
                <c:pt idx="83">
                  <c:v>0.23489050279328166</c:v>
                </c:pt>
                <c:pt idx="84">
                  <c:v>0.22279074185431516</c:v>
                </c:pt>
                <c:pt idx="85">
                  <c:v>0.2122208292026882</c:v>
                </c:pt>
                <c:pt idx="86">
                  <c:v>0.20249009767111964</c:v>
                </c:pt>
                <c:pt idx="87">
                  <c:v>0.1929387600827609</c:v>
                </c:pt>
                <c:pt idx="88">
                  <c:v>0.18425626868808143</c:v>
                </c:pt>
                <c:pt idx="89">
                  <c:v>0.17647360645729782</c:v>
                </c:pt>
                <c:pt idx="90">
                  <c:v>0.1689304737474768</c:v>
                </c:pt>
                <c:pt idx="91">
                  <c:v>0.1618753372570769</c:v>
                </c:pt>
                <c:pt idx="92">
                  <c:v>0.15462906064221527</c:v>
                </c:pt>
                <c:pt idx="93">
                  <c:v>0.1480509996614712</c:v>
                </c:pt>
                <c:pt idx="94">
                  <c:v>0.14204666515101894</c:v>
                </c:pt>
                <c:pt idx="95">
                  <c:v>0.13643923547375744</c:v>
                </c:pt>
                <c:pt idx="96">
                  <c:v>0.13120866680184479</c:v>
                </c:pt>
                <c:pt idx="97">
                  <c:v>0.12622615459473402</c:v>
                </c:pt>
                <c:pt idx="98">
                  <c:v>0.12199552973197479</c:v>
                </c:pt>
                <c:pt idx="99">
                  <c:v>0.11815333081354097</c:v>
                </c:pt>
                <c:pt idx="100">
                  <c:v>0.11439568834427578</c:v>
                </c:pt>
                <c:pt idx="101">
                  <c:v>0.11149476695235412</c:v>
                </c:pt>
                <c:pt idx="102">
                  <c:v>0.10869675654027885</c:v>
                </c:pt>
                <c:pt idx="103">
                  <c:v>0.10621605232830479</c:v>
                </c:pt>
                <c:pt idx="104">
                  <c:v>0.10381010513176463</c:v>
                </c:pt>
                <c:pt idx="105">
                  <c:v>0.10182351650232349</c:v>
                </c:pt>
                <c:pt idx="106">
                  <c:v>9.9692966561545471E-2</c:v>
                </c:pt>
                <c:pt idx="107">
                  <c:v>9.7610878084579189E-2</c:v>
                </c:pt>
                <c:pt idx="108">
                  <c:v>9.5825631715836468E-2</c:v>
                </c:pt>
                <c:pt idx="109">
                  <c:v>9.4312032288147787E-2</c:v>
                </c:pt>
                <c:pt idx="110">
                  <c:v>9.3094176925667335E-2</c:v>
                </c:pt>
                <c:pt idx="111">
                  <c:v>9.1327363543629192E-2</c:v>
                </c:pt>
                <c:pt idx="112">
                  <c:v>8.991479631433108E-2</c:v>
                </c:pt>
                <c:pt idx="113">
                  <c:v>8.885304892409103E-2</c:v>
                </c:pt>
                <c:pt idx="114">
                  <c:v>8.7809838970388659E-2</c:v>
                </c:pt>
                <c:pt idx="115">
                  <c:v>8.703968595688405E-2</c:v>
                </c:pt>
                <c:pt idx="116">
                  <c:v>8.6408648118105877E-2</c:v>
                </c:pt>
                <c:pt idx="117">
                  <c:v>8.5508753083312503E-2</c:v>
                </c:pt>
                <c:pt idx="118">
                  <c:v>8.5117615812781697E-2</c:v>
                </c:pt>
                <c:pt idx="119">
                  <c:v>8.496442831263544E-2</c:v>
                </c:pt>
                <c:pt idx="120">
                  <c:v>8.4610718852346348E-2</c:v>
                </c:pt>
              </c:numCache>
            </c:numRef>
          </c:yVal>
          <c:smooth val="1"/>
          <c:extLst>
            <c:ext xmlns:c16="http://schemas.microsoft.com/office/drawing/2014/chart" uri="{C3380CC4-5D6E-409C-BE32-E72D297353CC}">
              <c16:uniqueId val="{00000000-E3D2-4FC9-8899-442FC18AC3AE}"/>
            </c:ext>
          </c:extLst>
        </c:ser>
        <c:ser>
          <c:idx val="1"/>
          <c:order val="1"/>
          <c:tx>
            <c:v>Pico 5 - CAL1</c:v>
          </c:tx>
          <c:spPr>
            <a:ln>
              <a:solidFill>
                <a:srgbClr val="FF0000"/>
              </a:solidFill>
            </a:ln>
          </c:spPr>
          <c:marker>
            <c:symbol val="none"/>
          </c:marker>
          <c:trendline>
            <c:trendlineType val="poly"/>
            <c:order val="6"/>
            <c:dispRSqr val="1"/>
            <c:dispEq val="1"/>
            <c:trendlineLbl>
              <c:layout>
                <c:manualLayout>
                  <c:x val="0.10319917440660475"/>
                  <c:y val="-0.23115922132979871"/>
                </c:manualLayout>
              </c:layout>
              <c:numFmt formatCode="0.000000000000000E+00" sourceLinked="0"/>
            </c:trendlineLbl>
          </c:trendline>
          <c:xVal>
            <c:numRef>
              <c:f>'Registro Tratado'!$B$235:$B$241</c:f>
              <c:numCache>
                <c:formatCode>0.0</c:formatCode>
                <c:ptCount val="7"/>
                <c:pt idx="0">
                  <c:v>365</c:v>
                </c:pt>
                <c:pt idx="1">
                  <c:v>364</c:v>
                </c:pt>
                <c:pt idx="2">
                  <c:v>363</c:v>
                </c:pt>
                <c:pt idx="3">
                  <c:v>362</c:v>
                </c:pt>
                <c:pt idx="4">
                  <c:v>361</c:v>
                </c:pt>
                <c:pt idx="5">
                  <c:v>360</c:v>
                </c:pt>
                <c:pt idx="6">
                  <c:v>359</c:v>
                </c:pt>
              </c:numCache>
            </c:numRef>
          </c:xVal>
          <c:yVal>
            <c:numRef>
              <c:f>'Registro Tratado'!$C$235:$C$241</c:f>
              <c:numCache>
                <c:formatCode>0.000</c:formatCode>
                <c:ptCount val="7"/>
                <c:pt idx="0">
                  <c:v>0.23799999999999999</c:v>
                </c:pt>
                <c:pt idx="1">
                  <c:v>0.31900000000000001</c:v>
                </c:pt>
                <c:pt idx="2">
                  <c:v>0.38300000000000001</c:v>
                </c:pt>
                <c:pt idx="3">
                  <c:v>0.41699999999999998</c:v>
                </c:pt>
                <c:pt idx="4">
                  <c:v>0.39300000000000002</c:v>
                </c:pt>
                <c:pt idx="5">
                  <c:v>0.32100000000000001</c:v>
                </c:pt>
                <c:pt idx="6">
                  <c:v>0.23400000000000001</c:v>
                </c:pt>
              </c:numCache>
            </c:numRef>
          </c:yVal>
          <c:smooth val="1"/>
          <c:extLst>
            <c:ext xmlns:c16="http://schemas.microsoft.com/office/drawing/2014/chart" uri="{C3380CC4-5D6E-409C-BE32-E72D297353CC}">
              <c16:uniqueId val="{00000001-E3D2-4FC9-8899-442FC18AC3AE}"/>
            </c:ext>
          </c:extLst>
        </c:ser>
        <c:ser>
          <c:idx val="2"/>
          <c:order val="2"/>
          <c:tx>
            <c:v>Pico 5 - Largura de banda</c:v>
          </c:tx>
          <c:spPr>
            <a:ln w="15875">
              <a:solidFill>
                <a:srgbClr val="FFC000"/>
              </a:solidFill>
            </a:ln>
          </c:spPr>
          <c:marker>
            <c:symbol val="none"/>
          </c:marker>
          <c:xVal>
            <c:numRef>
              <c:f>'Registro Tratado'!$AH$229:$CP$229</c:f>
              <c:numCache>
                <c:formatCode>0.0</c:formatCode>
                <c:ptCount val="61"/>
                <c:pt idx="0">
                  <c:v>354.8</c:v>
                </c:pt>
                <c:pt idx="1">
                  <c:v>355</c:v>
                </c:pt>
                <c:pt idx="2">
                  <c:v>355.2</c:v>
                </c:pt>
                <c:pt idx="3">
                  <c:v>355.4</c:v>
                </c:pt>
                <c:pt idx="4">
                  <c:v>355.59999999999997</c:v>
                </c:pt>
                <c:pt idx="5">
                  <c:v>355.79999999999995</c:v>
                </c:pt>
                <c:pt idx="6">
                  <c:v>355.99999999999994</c:v>
                </c:pt>
                <c:pt idx="7">
                  <c:v>356.19999999999993</c:v>
                </c:pt>
                <c:pt idx="8">
                  <c:v>356.39999999999992</c:v>
                </c:pt>
                <c:pt idx="9">
                  <c:v>356.59999999999991</c:v>
                </c:pt>
                <c:pt idx="10">
                  <c:v>356.7999999999999</c:v>
                </c:pt>
                <c:pt idx="11">
                  <c:v>356.99999999999989</c:v>
                </c:pt>
                <c:pt idx="12">
                  <c:v>357.19999999999987</c:v>
                </c:pt>
                <c:pt idx="13">
                  <c:v>357.39999999999986</c:v>
                </c:pt>
                <c:pt idx="14">
                  <c:v>357.59999999999985</c:v>
                </c:pt>
                <c:pt idx="15">
                  <c:v>357.79999999999984</c:v>
                </c:pt>
                <c:pt idx="16">
                  <c:v>357.99999999999983</c:v>
                </c:pt>
                <c:pt idx="17">
                  <c:v>358.19999999999982</c:v>
                </c:pt>
                <c:pt idx="18">
                  <c:v>358.39999999999981</c:v>
                </c:pt>
                <c:pt idx="19">
                  <c:v>358.5999999999998</c:v>
                </c:pt>
                <c:pt idx="20">
                  <c:v>358.79999999999978</c:v>
                </c:pt>
                <c:pt idx="21">
                  <c:v>358.99999999999977</c:v>
                </c:pt>
                <c:pt idx="22">
                  <c:v>359.19999999999976</c:v>
                </c:pt>
                <c:pt idx="23">
                  <c:v>359.39999999999975</c:v>
                </c:pt>
                <c:pt idx="24">
                  <c:v>359.59999999999974</c:v>
                </c:pt>
                <c:pt idx="25">
                  <c:v>359.79999999999973</c:v>
                </c:pt>
                <c:pt idx="26">
                  <c:v>359.99999999999972</c:v>
                </c:pt>
                <c:pt idx="27">
                  <c:v>360.1999999999997</c:v>
                </c:pt>
                <c:pt idx="28">
                  <c:v>360.39999999999969</c:v>
                </c:pt>
                <c:pt idx="29">
                  <c:v>360.59999999999968</c:v>
                </c:pt>
                <c:pt idx="30">
                  <c:v>360.79999999999967</c:v>
                </c:pt>
                <c:pt idx="31">
                  <c:v>360.99999999999966</c:v>
                </c:pt>
                <c:pt idx="32">
                  <c:v>361.19999999999965</c:v>
                </c:pt>
                <c:pt idx="33">
                  <c:v>361.39999999999964</c:v>
                </c:pt>
                <c:pt idx="34">
                  <c:v>361.59999999999962</c:v>
                </c:pt>
                <c:pt idx="35">
                  <c:v>361.79999999999961</c:v>
                </c:pt>
                <c:pt idx="36">
                  <c:v>361.9999999999996</c:v>
                </c:pt>
                <c:pt idx="37">
                  <c:v>362.19999999999959</c:v>
                </c:pt>
                <c:pt idx="38">
                  <c:v>362.39999999999958</c:v>
                </c:pt>
                <c:pt idx="39">
                  <c:v>362.59999999999957</c:v>
                </c:pt>
                <c:pt idx="40">
                  <c:v>362.79999999999956</c:v>
                </c:pt>
                <c:pt idx="41">
                  <c:v>362.99999999999955</c:v>
                </c:pt>
                <c:pt idx="42">
                  <c:v>363.19999999999953</c:v>
                </c:pt>
                <c:pt idx="43">
                  <c:v>363.39999999999952</c:v>
                </c:pt>
                <c:pt idx="44">
                  <c:v>363.59999999999951</c:v>
                </c:pt>
                <c:pt idx="45">
                  <c:v>363.7999999999995</c:v>
                </c:pt>
                <c:pt idx="46">
                  <c:v>363.99999999999949</c:v>
                </c:pt>
                <c:pt idx="47">
                  <c:v>364.19999999999948</c:v>
                </c:pt>
                <c:pt idx="48">
                  <c:v>364.39999999999947</c:v>
                </c:pt>
                <c:pt idx="49">
                  <c:v>364.59999999999945</c:v>
                </c:pt>
                <c:pt idx="50">
                  <c:v>364.79999999999944</c:v>
                </c:pt>
                <c:pt idx="51">
                  <c:v>364.99999999999943</c:v>
                </c:pt>
                <c:pt idx="52">
                  <c:v>365.19999999999942</c:v>
                </c:pt>
                <c:pt idx="53">
                  <c:v>365.39999999999941</c:v>
                </c:pt>
                <c:pt idx="54">
                  <c:v>365.5999999999994</c:v>
                </c:pt>
                <c:pt idx="55">
                  <c:v>365.79999999999939</c:v>
                </c:pt>
                <c:pt idx="56">
                  <c:v>365.99999999999937</c:v>
                </c:pt>
                <c:pt idx="57">
                  <c:v>366.19999999999936</c:v>
                </c:pt>
                <c:pt idx="58">
                  <c:v>366.39999999999935</c:v>
                </c:pt>
                <c:pt idx="59">
                  <c:v>366.59999999999934</c:v>
                </c:pt>
                <c:pt idx="60">
                  <c:v>366.79999999999933</c:v>
                </c:pt>
              </c:numCache>
            </c:numRef>
          </c:xVal>
          <c:yVal>
            <c:numRef>
              <c:f>'Registro Tratado'!$AH$230:$CP$230</c:f>
              <c:numCache>
                <c:formatCode>0.0000</c:formatCode>
                <c:ptCount val="61"/>
                <c:pt idx="0">
                  <c:v>0.60804999999999998</c:v>
                </c:pt>
                <c:pt idx="1">
                  <c:v>0.60804999999999998</c:v>
                </c:pt>
                <c:pt idx="2">
                  <c:v>0.60804999999999998</c:v>
                </c:pt>
                <c:pt idx="3">
                  <c:v>0.60804999999999998</c:v>
                </c:pt>
                <c:pt idx="4">
                  <c:v>0.60804999999999998</c:v>
                </c:pt>
                <c:pt idx="5">
                  <c:v>0.60804999999999998</c:v>
                </c:pt>
                <c:pt idx="6">
                  <c:v>0.60804999999999998</c:v>
                </c:pt>
                <c:pt idx="7">
                  <c:v>0.60804999999999998</c:v>
                </c:pt>
                <c:pt idx="8">
                  <c:v>0.60804999999999998</c:v>
                </c:pt>
                <c:pt idx="9">
                  <c:v>0.60804999999999998</c:v>
                </c:pt>
                <c:pt idx="10">
                  <c:v>0.60804999999999998</c:v>
                </c:pt>
                <c:pt idx="11">
                  <c:v>0.60804999999999998</c:v>
                </c:pt>
                <c:pt idx="12">
                  <c:v>0.60804999999999998</c:v>
                </c:pt>
                <c:pt idx="13">
                  <c:v>0.60804999999999998</c:v>
                </c:pt>
                <c:pt idx="14">
                  <c:v>0.60804999999999998</c:v>
                </c:pt>
                <c:pt idx="15">
                  <c:v>0.60804999999999998</c:v>
                </c:pt>
                <c:pt idx="16">
                  <c:v>0.60804999999999998</c:v>
                </c:pt>
                <c:pt idx="17">
                  <c:v>0.60804999999999998</c:v>
                </c:pt>
                <c:pt idx="18">
                  <c:v>0.60804999999999998</c:v>
                </c:pt>
                <c:pt idx="19">
                  <c:v>0.60804999999999998</c:v>
                </c:pt>
                <c:pt idx="20">
                  <c:v>0.60804999999999998</c:v>
                </c:pt>
                <c:pt idx="21">
                  <c:v>0.60804999999999998</c:v>
                </c:pt>
                <c:pt idx="22">
                  <c:v>0.60804999999999998</c:v>
                </c:pt>
                <c:pt idx="23">
                  <c:v>0.60804999999999998</c:v>
                </c:pt>
                <c:pt idx="24">
                  <c:v>0.60804999999999998</c:v>
                </c:pt>
                <c:pt idx="25">
                  <c:v>0.60804999999999998</c:v>
                </c:pt>
                <c:pt idx="26">
                  <c:v>0.60804999999999998</c:v>
                </c:pt>
                <c:pt idx="27">
                  <c:v>0.60804999999999998</c:v>
                </c:pt>
                <c:pt idx="28">
                  <c:v>0.60804999999999998</c:v>
                </c:pt>
                <c:pt idx="29">
                  <c:v>0.60804999999999998</c:v>
                </c:pt>
                <c:pt idx="30">
                  <c:v>0.60804999999999998</c:v>
                </c:pt>
                <c:pt idx="31">
                  <c:v>0.60804999999999998</c:v>
                </c:pt>
                <c:pt idx="32">
                  <c:v>0.60804999999999998</c:v>
                </c:pt>
                <c:pt idx="33">
                  <c:v>0.60804999999999998</c:v>
                </c:pt>
                <c:pt idx="34">
                  <c:v>0.60804999999999998</c:v>
                </c:pt>
                <c:pt idx="35">
                  <c:v>0.60804999999999998</c:v>
                </c:pt>
                <c:pt idx="36">
                  <c:v>0.60804999999999998</c:v>
                </c:pt>
                <c:pt idx="37">
                  <c:v>0.60804999999999998</c:v>
                </c:pt>
                <c:pt idx="38">
                  <c:v>0.60804999999999998</c:v>
                </c:pt>
                <c:pt idx="39">
                  <c:v>0.60804999999999998</c:v>
                </c:pt>
                <c:pt idx="40">
                  <c:v>0.60804999999999998</c:v>
                </c:pt>
                <c:pt idx="41">
                  <c:v>0.60804999999999998</c:v>
                </c:pt>
                <c:pt idx="42">
                  <c:v>0.60804999999999998</c:v>
                </c:pt>
                <c:pt idx="43">
                  <c:v>0.60804999999999998</c:v>
                </c:pt>
                <c:pt idx="44">
                  <c:v>0.60804999999999998</c:v>
                </c:pt>
                <c:pt idx="45">
                  <c:v>0.60804999999999998</c:v>
                </c:pt>
                <c:pt idx="46">
                  <c:v>0.60804999999999998</c:v>
                </c:pt>
                <c:pt idx="47">
                  <c:v>0.60804999999999998</c:v>
                </c:pt>
                <c:pt idx="48">
                  <c:v>0.60804999999999998</c:v>
                </c:pt>
                <c:pt idx="49">
                  <c:v>0.60804999999999998</c:v>
                </c:pt>
                <c:pt idx="50">
                  <c:v>0.60804999999999998</c:v>
                </c:pt>
                <c:pt idx="51">
                  <c:v>0.60804999999999998</c:v>
                </c:pt>
                <c:pt idx="52">
                  <c:v>0.60804999999999998</c:v>
                </c:pt>
                <c:pt idx="53">
                  <c:v>0.60804999999999998</c:v>
                </c:pt>
                <c:pt idx="54">
                  <c:v>0.60804999999999998</c:v>
                </c:pt>
                <c:pt idx="55">
                  <c:v>0.60804999999999998</c:v>
                </c:pt>
                <c:pt idx="56">
                  <c:v>0.60804999999999998</c:v>
                </c:pt>
                <c:pt idx="57">
                  <c:v>0.60804999999999998</c:v>
                </c:pt>
                <c:pt idx="58">
                  <c:v>0.60804999999999998</c:v>
                </c:pt>
                <c:pt idx="59">
                  <c:v>0.60804999999999998</c:v>
                </c:pt>
                <c:pt idx="60">
                  <c:v>0.60804999999999998</c:v>
                </c:pt>
              </c:numCache>
            </c:numRef>
          </c:yVal>
          <c:smooth val="1"/>
          <c:extLst>
            <c:ext xmlns:c16="http://schemas.microsoft.com/office/drawing/2014/chart" uri="{C3380CC4-5D6E-409C-BE32-E72D297353CC}">
              <c16:uniqueId val="{00000002-E3D2-4FC9-8899-442FC18AC3AE}"/>
            </c:ext>
          </c:extLst>
        </c:ser>
        <c:ser>
          <c:idx val="3"/>
          <c:order val="3"/>
          <c:tx>
            <c:v>Pico 5 - CAL2</c:v>
          </c:tx>
          <c:spPr>
            <a:ln>
              <a:solidFill>
                <a:srgbClr val="00B050"/>
              </a:solidFill>
            </a:ln>
          </c:spPr>
          <c:marker>
            <c:symbol val="none"/>
          </c:marker>
          <c:trendline>
            <c:trendlineType val="poly"/>
            <c:order val="6"/>
            <c:dispRSqr val="1"/>
            <c:dispEq val="1"/>
            <c:trendlineLbl>
              <c:layout>
                <c:manualLayout>
                  <c:x val="0.10319917440660475"/>
                  <c:y val="5.6747405572299452E-2"/>
                </c:manualLayout>
              </c:layout>
              <c:numFmt formatCode="0.000000000000000E+00" sourceLinked="0"/>
            </c:trendlineLbl>
          </c:trendline>
          <c:xVal>
            <c:numRef>
              <c:f>'Registro Tratado'!$E$235:$E$241</c:f>
              <c:numCache>
                <c:formatCode>0.0</c:formatCode>
                <c:ptCount val="7"/>
                <c:pt idx="0">
                  <c:v>363</c:v>
                </c:pt>
                <c:pt idx="1">
                  <c:v>362.5</c:v>
                </c:pt>
                <c:pt idx="2">
                  <c:v>362</c:v>
                </c:pt>
                <c:pt idx="3">
                  <c:v>361.5</c:v>
                </c:pt>
                <c:pt idx="4">
                  <c:v>361</c:v>
                </c:pt>
                <c:pt idx="5">
                  <c:v>360.5</c:v>
                </c:pt>
                <c:pt idx="6">
                  <c:v>360</c:v>
                </c:pt>
              </c:numCache>
            </c:numRef>
          </c:xVal>
          <c:yVal>
            <c:numRef>
              <c:f>'Registro Tratado'!$F$235:$F$241</c:f>
              <c:numCache>
                <c:formatCode>0.000</c:formatCode>
                <c:ptCount val="7"/>
                <c:pt idx="0">
                  <c:v>0.25700000000000001</c:v>
                </c:pt>
                <c:pt idx="1">
                  <c:v>0.34</c:v>
                </c:pt>
                <c:pt idx="2">
                  <c:v>0.39800000000000002</c:v>
                </c:pt>
                <c:pt idx="3">
                  <c:v>0.41799999999999998</c:v>
                </c:pt>
                <c:pt idx="4">
                  <c:v>0.375</c:v>
                </c:pt>
                <c:pt idx="5">
                  <c:v>0.29499999999999998</c:v>
                </c:pt>
                <c:pt idx="6">
                  <c:v>0.21</c:v>
                </c:pt>
              </c:numCache>
            </c:numRef>
          </c:yVal>
          <c:smooth val="1"/>
          <c:extLst>
            <c:ext xmlns:c16="http://schemas.microsoft.com/office/drawing/2014/chart" uri="{C3380CC4-5D6E-409C-BE32-E72D297353CC}">
              <c16:uniqueId val="{00000003-E3D2-4FC9-8899-442FC18AC3AE}"/>
            </c:ext>
          </c:extLst>
        </c:ser>
        <c:dLbls>
          <c:showLegendKey val="0"/>
          <c:showVal val="0"/>
          <c:showCatName val="0"/>
          <c:showSerName val="0"/>
          <c:showPercent val="0"/>
          <c:showBubbleSize val="0"/>
        </c:dLbls>
        <c:axId val="77787520"/>
        <c:axId val="77789440"/>
      </c:scatterChart>
      <c:valAx>
        <c:axId val="77787520"/>
        <c:scaling>
          <c:orientation val="minMax"/>
          <c:max val="366.8"/>
          <c:min val="354.8"/>
        </c:scaling>
        <c:delete val="0"/>
        <c:axPos val="t"/>
        <c:title>
          <c:tx>
            <c:rich>
              <a:bodyPr/>
              <a:lstStyle/>
              <a:p>
                <a:pPr>
                  <a:defRPr sz="1000" b="1" i="0" u="none" strike="noStrike" baseline="0">
                    <a:solidFill>
                      <a:srgbClr val="000000"/>
                    </a:solidFill>
                    <a:latin typeface="Arial"/>
                    <a:ea typeface="Arial"/>
                    <a:cs typeface="Arial"/>
                  </a:defRPr>
                </a:pPr>
                <a:r>
                  <a:rPr lang="pt-BR"/>
                  <a:t>Comprimento</a:t>
                </a:r>
                <a:r>
                  <a:rPr lang="pt-BR" baseline="0"/>
                  <a:t> de Onda</a:t>
                </a:r>
                <a:r>
                  <a:rPr lang="pt-BR"/>
                  <a:t> [nm]</a:t>
                </a:r>
              </a:p>
            </c:rich>
          </c:tx>
          <c:layout>
            <c:manualLayout>
              <c:xMode val="edge"/>
              <c:yMode val="edge"/>
              <c:x val="0.43979123805746739"/>
              <c:y val="0.89920460343258712"/>
            </c:manualLayout>
          </c:layout>
          <c:overlay val="0"/>
          <c:spPr>
            <a:noFill/>
            <a:ln w="25400">
              <a:noFill/>
            </a:ln>
          </c:spPr>
        </c:title>
        <c:numFmt formatCode="0.0" sourceLinked="0"/>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pt-BR"/>
          </a:p>
        </c:txPr>
        <c:crossAx val="77789440"/>
        <c:crosses val="max"/>
        <c:crossBetween val="midCat"/>
        <c:majorUnit val="1"/>
        <c:minorUnit val="0.2"/>
      </c:valAx>
      <c:valAx>
        <c:axId val="77789440"/>
        <c:scaling>
          <c:orientation val="minMax"/>
          <c:max val="1.2"/>
          <c:min val="8.0000000000000043E-2"/>
        </c:scaling>
        <c:delete val="0"/>
        <c:axPos val="l"/>
        <c:majorGridlines>
          <c:spPr>
            <a:ln w="3175">
              <a:solidFill>
                <a:schemeClr val="bg1">
                  <a:lumMod val="65000"/>
                </a:schemeClr>
              </a:solidFill>
              <a:prstDash val="solid"/>
            </a:ln>
          </c:spPr>
        </c:majorGridlines>
        <c:title>
          <c:tx>
            <c:rich>
              <a:bodyPr/>
              <a:lstStyle/>
              <a:p>
                <a:pPr>
                  <a:defRPr sz="1000" b="1" i="0" u="none" strike="noStrike" baseline="0">
                    <a:solidFill>
                      <a:srgbClr val="000000"/>
                    </a:solidFill>
                    <a:latin typeface="Arial"/>
                    <a:ea typeface="Arial"/>
                    <a:cs typeface="Arial"/>
                  </a:defRPr>
                </a:pPr>
                <a:r>
                  <a:rPr lang="pt-BR"/>
                  <a:t>Absorbância </a:t>
                </a:r>
              </a:p>
            </c:rich>
          </c:tx>
          <c:layout>
            <c:manualLayout>
              <c:xMode val="edge"/>
              <c:yMode val="edge"/>
              <c:x val="1.6112896695887842E-2"/>
              <c:y val="0.33949894539735659"/>
            </c:manualLayout>
          </c:layout>
          <c:overlay val="0"/>
          <c:spPr>
            <a:noFill/>
            <a:ln w="25400">
              <a:noFill/>
            </a:ln>
          </c:spPr>
        </c:title>
        <c:numFmt formatCode="0.00" sourceLinked="0"/>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pt-BR"/>
          </a:p>
        </c:txPr>
        <c:crossAx val="77787520"/>
        <c:crosses val="autoZero"/>
        <c:crossBetween val="midCat"/>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pt-BR"/>
    </a:p>
  </c:txPr>
  <c:printSettings>
    <c:headerFooter alignWithMargins="0"/>
    <c:pageMargins b="0.98425196899999978" l="0.78740157499999996" r="0.78740157499999996" t="0.98425196899999978"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b="1"/>
              <a:t>Pico 7</a:t>
            </a:r>
            <a:r>
              <a:rPr lang="en-US" sz="1100" b="1" baseline="0"/>
              <a:t>  -  446,00 nm</a:t>
            </a:r>
            <a:endParaRPr lang="en-US" sz="1100" b="1"/>
          </a:p>
        </c:rich>
      </c:tx>
      <c:layout>
        <c:manualLayout>
          <c:xMode val="edge"/>
          <c:yMode val="edge"/>
          <c:x val="0.55029449755296844"/>
          <c:y val="0.11505004760176518"/>
        </c:manualLayout>
      </c:layout>
      <c:overlay val="0"/>
    </c:title>
    <c:autoTitleDeleted val="0"/>
    <c:plotArea>
      <c:layout>
        <c:manualLayout>
          <c:layoutTarget val="inner"/>
          <c:xMode val="edge"/>
          <c:yMode val="edge"/>
          <c:x val="8.1508392846243116E-2"/>
          <c:y val="4.5226601867644906E-2"/>
          <c:w val="0.81675531869566498"/>
          <c:h val="0.74801061007957614"/>
        </c:manualLayout>
      </c:layout>
      <c:scatterChart>
        <c:scatterStyle val="smoothMarker"/>
        <c:varyColors val="0"/>
        <c:ser>
          <c:idx val="0"/>
          <c:order val="0"/>
          <c:tx>
            <c:v>Pico 7</c:v>
          </c:tx>
          <c:spPr>
            <a:ln w="12700">
              <a:solidFill>
                <a:srgbClr val="000080"/>
              </a:solidFill>
              <a:prstDash val="solid"/>
            </a:ln>
          </c:spPr>
          <c:marker>
            <c:symbol val="none"/>
          </c:marker>
          <c:xVal>
            <c:numRef>
              <c:f>'Registro Tratado'!$AD$2285:$AD$2405</c:f>
              <c:numCache>
                <c:formatCode>0.0</c:formatCode>
                <c:ptCount val="121"/>
                <c:pt idx="0">
                  <c:v>452</c:v>
                </c:pt>
                <c:pt idx="1">
                  <c:v>451.9</c:v>
                </c:pt>
                <c:pt idx="2">
                  <c:v>451.8</c:v>
                </c:pt>
                <c:pt idx="3">
                  <c:v>451.7</c:v>
                </c:pt>
                <c:pt idx="4">
                  <c:v>451.6</c:v>
                </c:pt>
                <c:pt idx="5">
                  <c:v>451.5</c:v>
                </c:pt>
                <c:pt idx="6">
                  <c:v>451.4</c:v>
                </c:pt>
                <c:pt idx="7">
                  <c:v>451.3</c:v>
                </c:pt>
                <c:pt idx="8">
                  <c:v>451.2</c:v>
                </c:pt>
                <c:pt idx="9">
                  <c:v>451.1</c:v>
                </c:pt>
                <c:pt idx="10">
                  <c:v>451</c:v>
                </c:pt>
                <c:pt idx="11">
                  <c:v>450.9</c:v>
                </c:pt>
                <c:pt idx="12">
                  <c:v>450.8</c:v>
                </c:pt>
                <c:pt idx="13">
                  <c:v>450.7</c:v>
                </c:pt>
                <c:pt idx="14">
                  <c:v>450.6</c:v>
                </c:pt>
                <c:pt idx="15">
                  <c:v>450.5</c:v>
                </c:pt>
                <c:pt idx="16">
                  <c:v>450.4</c:v>
                </c:pt>
                <c:pt idx="17">
                  <c:v>450.3</c:v>
                </c:pt>
                <c:pt idx="18">
                  <c:v>450.2</c:v>
                </c:pt>
                <c:pt idx="19">
                  <c:v>450.1</c:v>
                </c:pt>
                <c:pt idx="20">
                  <c:v>450</c:v>
                </c:pt>
                <c:pt idx="21">
                  <c:v>449.9</c:v>
                </c:pt>
                <c:pt idx="22">
                  <c:v>449.8</c:v>
                </c:pt>
                <c:pt idx="23">
                  <c:v>449.7</c:v>
                </c:pt>
                <c:pt idx="24">
                  <c:v>449.6</c:v>
                </c:pt>
                <c:pt idx="25">
                  <c:v>449.5</c:v>
                </c:pt>
                <c:pt idx="26">
                  <c:v>449.4</c:v>
                </c:pt>
                <c:pt idx="27">
                  <c:v>449.3</c:v>
                </c:pt>
                <c:pt idx="28">
                  <c:v>449.2</c:v>
                </c:pt>
                <c:pt idx="29">
                  <c:v>449.1</c:v>
                </c:pt>
                <c:pt idx="30">
                  <c:v>449</c:v>
                </c:pt>
                <c:pt idx="31">
                  <c:v>448.9</c:v>
                </c:pt>
                <c:pt idx="32">
                  <c:v>448.8</c:v>
                </c:pt>
                <c:pt idx="33">
                  <c:v>448.7</c:v>
                </c:pt>
                <c:pt idx="34">
                  <c:v>448.6</c:v>
                </c:pt>
                <c:pt idx="35">
                  <c:v>448.5</c:v>
                </c:pt>
                <c:pt idx="36">
                  <c:v>448.4</c:v>
                </c:pt>
                <c:pt idx="37">
                  <c:v>448.3</c:v>
                </c:pt>
                <c:pt idx="38">
                  <c:v>448.2</c:v>
                </c:pt>
                <c:pt idx="39">
                  <c:v>448.1</c:v>
                </c:pt>
                <c:pt idx="40">
                  <c:v>448</c:v>
                </c:pt>
                <c:pt idx="41">
                  <c:v>447.9</c:v>
                </c:pt>
                <c:pt idx="42">
                  <c:v>447.8</c:v>
                </c:pt>
                <c:pt idx="43">
                  <c:v>447.7</c:v>
                </c:pt>
                <c:pt idx="44">
                  <c:v>447.6</c:v>
                </c:pt>
                <c:pt idx="45">
                  <c:v>447.5</c:v>
                </c:pt>
                <c:pt idx="46">
                  <c:v>447.4</c:v>
                </c:pt>
                <c:pt idx="47">
                  <c:v>447.3</c:v>
                </c:pt>
                <c:pt idx="48">
                  <c:v>447.2</c:v>
                </c:pt>
                <c:pt idx="49">
                  <c:v>447.1</c:v>
                </c:pt>
                <c:pt idx="50">
                  <c:v>447</c:v>
                </c:pt>
                <c:pt idx="51">
                  <c:v>446.9</c:v>
                </c:pt>
                <c:pt idx="52">
                  <c:v>446.8</c:v>
                </c:pt>
                <c:pt idx="53">
                  <c:v>446.7</c:v>
                </c:pt>
                <c:pt idx="54">
                  <c:v>446.6</c:v>
                </c:pt>
                <c:pt idx="55">
                  <c:v>446.5</c:v>
                </c:pt>
                <c:pt idx="56">
                  <c:v>446.4</c:v>
                </c:pt>
                <c:pt idx="57">
                  <c:v>446.3</c:v>
                </c:pt>
                <c:pt idx="58">
                  <c:v>446.2</c:v>
                </c:pt>
                <c:pt idx="59">
                  <c:v>446.1</c:v>
                </c:pt>
                <c:pt idx="60">
                  <c:v>446</c:v>
                </c:pt>
                <c:pt idx="61">
                  <c:v>445.9</c:v>
                </c:pt>
                <c:pt idx="62">
                  <c:v>445.8</c:v>
                </c:pt>
                <c:pt idx="63">
                  <c:v>445.7</c:v>
                </c:pt>
                <c:pt idx="64">
                  <c:v>445.6</c:v>
                </c:pt>
                <c:pt idx="65">
                  <c:v>445.5</c:v>
                </c:pt>
                <c:pt idx="66">
                  <c:v>445.4</c:v>
                </c:pt>
                <c:pt idx="67">
                  <c:v>445.3</c:v>
                </c:pt>
                <c:pt idx="68">
                  <c:v>445.2</c:v>
                </c:pt>
                <c:pt idx="69">
                  <c:v>445.1</c:v>
                </c:pt>
                <c:pt idx="70">
                  <c:v>445</c:v>
                </c:pt>
                <c:pt idx="71">
                  <c:v>444.9</c:v>
                </c:pt>
                <c:pt idx="72">
                  <c:v>444.8</c:v>
                </c:pt>
                <c:pt idx="73">
                  <c:v>444.7</c:v>
                </c:pt>
                <c:pt idx="74">
                  <c:v>444.6</c:v>
                </c:pt>
                <c:pt idx="75">
                  <c:v>444.5</c:v>
                </c:pt>
                <c:pt idx="76">
                  <c:v>444.4</c:v>
                </c:pt>
                <c:pt idx="77">
                  <c:v>444.3</c:v>
                </c:pt>
                <c:pt idx="78">
                  <c:v>444.2</c:v>
                </c:pt>
                <c:pt idx="79">
                  <c:v>444.1</c:v>
                </c:pt>
                <c:pt idx="80">
                  <c:v>444</c:v>
                </c:pt>
                <c:pt idx="81">
                  <c:v>443.9</c:v>
                </c:pt>
                <c:pt idx="82">
                  <c:v>443.8</c:v>
                </c:pt>
                <c:pt idx="83">
                  <c:v>443.7</c:v>
                </c:pt>
                <c:pt idx="84">
                  <c:v>443.6</c:v>
                </c:pt>
                <c:pt idx="85">
                  <c:v>443.5</c:v>
                </c:pt>
                <c:pt idx="86">
                  <c:v>443.4</c:v>
                </c:pt>
                <c:pt idx="87">
                  <c:v>443.3</c:v>
                </c:pt>
                <c:pt idx="88">
                  <c:v>443.2</c:v>
                </c:pt>
                <c:pt idx="89">
                  <c:v>443.1</c:v>
                </c:pt>
                <c:pt idx="90">
                  <c:v>443</c:v>
                </c:pt>
                <c:pt idx="91">
                  <c:v>442.9</c:v>
                </c:pt>
                <c:pt idx="92">
                  <c:v>442.8</c:v>
                </c:pt>
                <c:pt idx="93">
                  <c:v>442.7</c:v>
                </c:pt>
                <c:pt idx="94">
                  <c:v>442.6</c:v>
                </c:pt>
                <c:pt idx="95">
                  <c:v>442.5</c:v>
                </c:pt>
                <c:pt idx="96">
                  <c:v>442.4</c:v>
                </c:pt>
                <c:pt idx="97">
                  <c:v>442.3</c:v>
                </c:pt>
                <c:pt idx="98">
                  <c:v>442.2</c:v>
                </c:pt>
                <c:pt idx="99">
                  <c:v>442.1</c:v>
                </c:pt>
                <c:pt idx="100">
                  <c:v>442</c:v>
                </c:pt>
                <c:pt idx="101">
                  <c:v>441.9</c:v>
                </c:pt>
                <c:pt idx="102">
                  <c:v>441.8</c:v>
                </c:pt>
                <c:pt idx="103">
                  <c:v>441.7</c:v>
                </c:pt>
                <c:pt idx="104">
                  <c:v>441.6</c:v>
                </c:pt>
                <c:pt idx="105">
                  <c:v>441.5</c:v>
                </c:pt>
                <c:pt idx="106">
                  <c:v>441.4</c:v>
                </c:pt>
                <c:pt idx="107">
                  <c:v>441.3</c:v>
                </c:pt>
                <c:pt idx="108">
                  <c:v>441.2</c:v>
                </c:pt>
                <c:pt idx="109">
                  <c:v>441.1</c:v>
                </c:pt>
                <c:pt idx="110">
                  <c:v>441</c:v>
                </c:pt>
                <c:pt idx="111">
                  <c:v>440.9</c:v>
                </c:pt>
                <c:pt idx="112">
                  <c:v>440.8</c:v>
                </c:pt>
                <c:pt idx="113">
                  <c:v>440.7</c:v>
                </c:pt>
                <c:pt idx="114">
                  <c:v>440.6</c:v>
                </c:pt>
                <c:pt idx="115">
                  <c:v>440.5</c:v>
                </c:pt>
                <c:pt idx="116">
                  <c:v>440.4</c:v>
                </c:pt>
                <c:pt idx="117">
                  <c:v>440.3</c:v>
                </c:pt>
                <c:pt idx="118">
                  <c:v>440.2</c:v>
                </c:pt>
                <c:pt idx="119">
                  <c:v>440.1</c:v>
                </c:pt>
                <c:pt idx="120">
                  <c:v>440</c:v>
                </c:pt>
              </c:numCache>
            </c:numRef>
          </c:xVal>
          <c:yVal>
            <c:numRef>
              <c:f>'Registro Tratado'!$AF$2285:$AF$2405</c:f>
              <c:numCache>
                <c:formatCode>0.0000</c:formatCode>
                <c:ptCount val="121"/>
                <c:pt idx="0">
                  <c:v>0.87683462909708065</c:v>
                </c:pt>
                <c:pt idx="1">
                  <c:v>0.85579953981612089</c:v>
                </c:pt>
                <c:pt idx="2">
                  <c:v>0.83457759918543017</c:v>
                </c:pt>
                <c:pt idx="3">
                  <c:v>0.81440118941768547</c:v>
                </c:pt>
                <c:pt idx="4">
                  <c:v>0.79506647764585514</c:v>
                </c:pt>
                <c:pt idx="5">
                  <c:v>0.77658194309470574</c:v>
                </c:pt>
                <c:pt idx="6">
                  <c:v>0.75885213758830028</c:v>
                </c:pt>
                <c:pt idx="7">
                  <c:v>0.74277755381242594</c:v>
                </c:pt>
                <c:pt idx="8">
                  <c:v>0.72808872614010434</c:v>
                </c:pt>
                <c:pt idx="9">
                  <c:v>0.71500561327700551</c:v>
                </c:pt>
                <c:pt idx="10">
                  <c:v>0.70403726760597707</c:v>
                </c:pt>
                <c:pt idx="11">
                  <c:v>0.69531563402561392</c:v>
                </c:pt>
                <c:pt idx="12">
                  <c:v>0.68833088759938899</c:v>
                </c:pt>
                <c:pt idx="13">
                  <c:v>0.68392476516160317</c:v>
                </c:pt>
                <c:pt idx="14">
                  <c:v>0.68137328297003319</c:v>
                </c:pt>
                <c:pt idx="15">
                  <c:v>0.68181140584820399</c:v>
                </c:pt>
                <c:pt idx="16">
                  <c:v>0.68470154712637588</c:v>
                </c:pt>
                <c:pt idx="17">
                  <c:v>0.69011444033980618</c:v>
                </c:pt>
                <c:pt idx="18">
                  <c:v>0.69827568846966437</c:v>
                </c:pt>
                <c:pt idx="19">
                  <c:v>0.70931999458213713</c:v>
                </c:pt>
                <c:pt idx="20">
                  <c:v>0.72344629137568739</c:v>
                </c:pt>
                <c:pt idx="21">
                  <c:v>0.74109944321639165</c:v>
                </c:pt>
                <c:pt idx="22">
                  <c:v>0.76095090685980848</c:v>
                </c:pt>
                <c:pt idx="23">
                  <c:v>0.78412460453872435</c:v>
                </c:pt>
                <c:pt idx="24">
                  <c:v>0.80843721240827393</c:v>
                </c:pt>
                <c:pt idx="25">
                  <c:v>0.83821288125447668</c:v>
                </c:pt>
                <c:pt idx="26">
                  <c:v>0.87047122614122363</c:v>
                </c:pt>
                <c:pt idx="27">
                  <c:v>0.90538913696786305</c:v>
                </c:pt>
                <c:pt idx="28">
                  <c:v>0.94336190262034747</c:v>
                </c:pt>
                <c:pt idx="29">
                  <c:v>0.98585763845499419</c:v>
                </c:pt>
                <c:pt idx="30">
                  <c:v>1.0308870810983355</c:v>
                </c:pt>
                <c:pt idx="31">
                  <c:v>1.0801011868122743</c:v>
                </c:pt>
                <c:pt idx="32">
                  <c:v>1.1307682802690238</c:v>
                </c:pt>
                <c:pt idx="33">
                  <c:v>1.1872470278540381</c:v>
                </c:pt>
                <c:pt idx="34">
                  <c:v>1.2457510740504749</c:v>
                </c:pt>
                <c:pt idx="35">
                  <c:v>1.3084764778318456</c:v>
                </c:pt>
                <c:pt idx="36">
                  <c:v>1.3684446275870961</c:v>
                </c:pt>
                <c:pt idx="37">
                  <c:v>1.4334918007553767</c:v>
                </c:pt>
                <c:pt idx="38">
                  <c:v>1.4976548301020269</c:v>
                </c:pt>
                <c:pt idx="39">
                  <c:v>1.5670307091255944</c:v>
                </c:pt>
                <c:pt idx="40">
                  <c:v>1.6375740776913696</c:v>
                </c:pt>
                <c:pt idx="41">
                  <c:v>1.7069690943935629</c:v>
                </c:pt>
                <c:pt idx="42">
                  <c:v>1.7757778139153513</c:v>
                </c:pt>
                <c:pt idx="43">
                  <c:v>1.8456977803153356</c:v>
                </c:pt>
                <c:pt idx="44">
                  <c:v>1.9164615487698604</c:v>
                </c:pt>
                <c:pt idx="45">
                  <c:v>1.9848918393541628</c:v>
                </c:pt>
                <c:pt idx="46">
                  <c:v>2.0527918168715042</c:v>
                </c:pt>
                <c:pt idx="47">
                  <c:v>2.1214724599007826</c:v>
                </c:pt>
                <c:pt idx="48">
                  <c:v>2.1896868155993525</c:v>
                </c:pt>
                <c:pt idx="49">
                  <c:v>2.2618618480286252</c:v>
                </c:pt>
                <c:pt idx="50">
                  <c:v>2.3254603377703189</c:v>
                </c:pt>
                <c:pt idx="51">
                  <c:v>2.3938982213137261</c:v>
                </c:pt>
                <c:pt idx="52">
                  <c:v>2.4625965158419918</c:v>
                </c:pt>
                <c:pt idx="53">
                  <c:v>2.5357937156562156</c:v>
                </c:pt>
                <c:pt idx="54">
                  <c:v>2.6061792046591328</c:v>
                </c:pt>
                <c:pt idx="55">
                  <c:v>2.6786294423391848</c:v>
                </c:pt>
                <c:pt idx="56">
                  <c:v>2.7524194937661637</c:v>
                </c:pt>
                <c:pt idx="57">
                  <c:v>2.8235325154008661</c:v>
                </c:pt>
                <c:pt idx="58">
                  <c:v>2.8922475012598374</c:v>
                </c:pt>
                <c:pt idx="59">
                  <c:v>2.9579366505678437</c:v>
                </c:pt>
                <c:pt idx="60">
                  <c:v>3.0194694285367327</c:v>
                </c:pt>
                <c:pt idx="61">
                  <c:v>3.0663861879022121</c:v>
                </c:pt>
                <c:pt idx="62">
                  <c:v>3.1019058810406559</c:v>
                </c:pt>
                <c:pt idx="63">
                  <c:v>3.1182274478511118</c:v>
                </c:pt>
                <c:pt idx="64">
                  <c:v>3.1205428368341108</c:v>
                </c:pt>
                <c:pt idx="65">
                  <c:v>3.1074045771711019</c:v>
                </c:pt>
                <c:pt idx="66">
                  <c:v>3.0551276247464236</c:v>
                </c:pt>
                <c:pt idx="67">
                  <c:v>2.9895304302036081</c:v>
                </c:pt>
                <c:pt idx="68">
                  <c:v>2.9032637395375311</c:v>
                </c:pt>
                <c:pt idx="69">
                  <c:v>2.7992589097648741</c:v>
                </c:pt>
                <c:pt idx="70">
                  <c:v>2.681686182776001</c:v>
                </c:pt>
                <c:pt idx="71">
                  <c:v>2.5493352767478479</c:v>
                </c:pt>
                <c:pt idx="72">
                  <c:v>2.4150358908794094</c:v>
                </c:pt>
                <c:pt idx="73">
                  <c:v>2.2777528375203495</c:v>
                </c:pt>
                <c:pt idx="74">
                  <c:v>2.1393087113045568</c:v>
                </c:pt>
                <c:pt idx="75">
                  <c:v>2.0027097477565556</c:v>
                </c:pt>
                <c:pt idx="76">
                  <c:v>1.8647719097739446</c:v>
                </c:pt>
                <c:pt idx="77">
                  <c:v>1.7460081371878289</c:v>
                </c:pt>
                <c:pt idx="78">
                  <c:v>1.6213296147920171</c:v>
                </c:pt>
                <c:pt idx="79">
                  <c:v>1.5034439505037052</c:v>
                </c:pt>
                <c:pt idx="80">
                  <c:v>1.3905123101467147</c:v>
                </c:pt>
                <c:pt idx="81">
                  <c:v>1.2861987577072065</c:v>
                </c:pt>
                <c:pt idx="82">
                  <c:v>1.1873940990261029</c:v>
                </c:pt>
                <c:pt idx="83">
                  <c:v>1.092669270685602</c:v>
                </c:pt>
                <c:pt idx="84">
                  <c:v>1.0053265816135917</c:v>
                </c:pt>
                <c:pt idx="85">
                  <c:v>0.92841252948502373</c:v>
                </c:pt>
                <c:pt idx="86">
                  <c:v>0.85645437276157799</c:v>
                </c:pt>
                <c:pt idx="87">
                  <c:v>0.78720001937443296</c:v>
                </c:pt>
                <c:pt idx="88">
                  <c:v>0.72471168556439836</c:v>
                </c:pt>
                <c:pt idx="89">
                  <c:v>0.66735958961253738</c:v>
                </c:pt>
                <c:pt idx="90">
                  <c:v>0.61819925749529703</c:v>
                </c:pt>
                <c:pt idx="91">
                  <c:v>0.57133076934781146</c:v>
                </c:pt>
                <c:pt idx="92">
                  <c:v>0.52913398872587525</c:v>
                </c:pt>
                <c:pt idx="93">
                  <c:v>0.48953542214511386</c:v>
                </c:pt>
                <c:pt idx="94">
                  <c:v>0.45468051064826454</c:v>
                </c:pt>
                <c:pt idx="95">
                  <c:v>0.42316358292931389</c:v>
                </c:pt>
                <c:pt idx="96">
                  <c:v>0.39524490535516743</c:v>
                </c:pt>
                <c:pt idx="97">
                  <c:v>0.37026429276714462</c:v>
                </c:pt>
                <c:pt idx="98">
                  <c:v>0.34788909487300318</c:v>
                </c:pt>
                <c:pt idx="99">
                  <c:v>0.32834590349448295</c:v>
                </c:pt>
                <c:pt idx="100">
                  <c:v>0.30999895311693626</c:v>
                </c:pt>
                <c:pt idx="101">
                  <c:v>0.293563875143665</c:v>
                </c:pt>
                <c:pt idx="102">
                  <c:v>0.27897297506281621</c:v>
                </c:pt>
                <c:pt idx="103">
                  <c:v>0.26619306357115874</c:v>
                </c:pt>
                <c:pt idx="104">
                  <c:v>0.25499551357475675</c:v>
                </c:pt>
                <c:pt idx="105">
                  <c:v>0.24393470605131379</c:v>
                </c:pt>
                <c:pt idx="106">
                  <c:v>0.23402613108058976</c:v>
                </c:pt>
                <c:pt idx="107">
                  <c:v>0.22481932659337192</c:v>
                </c:pt>
                <c:pt idx="108">
                  <c:v>0.21666823711257607</c:v>
                </c:pt>
                <c:pt idx="109">
                  <c:v>0.20906071962895256</c:v>
                </c:pt>
                <c:pt idx="110">
                  <c:v>0.20218560641139524</c:v>
                </c:pt>
                <c:pt idx="111">
                  <c:v>0.19583329728180152</c:v>
                </c:pt>
                <c:pt idx="112">
                  <c:v>0.18994231063423717</c:v>
                </c:pt>
                <c:pt idx="113">
                  <c:v>0.18430273753052953</c:v>
                </c:pt>
                <c:pt idx="114">
                  <c:v>0.17862405272340315</c:v>
                </c:pt>
                <c:pt idx="115">
                  <c:v>0.1736141723525525</c:v>
                </c:pt>
                <c:pt idx="116">
                  <c:v>0.16905865038292456</c:v>
                </c:pt>
                <c:pt idx="117">
                  <c:v>0.16470903641910001</c:v>
                </c:pt>
                <c:pt idx="118">
                  <c:v>0.16054709341031195</c:v>
                </c:pt>
                <c:pt idx="119">
                  <c:v>0.15652428434168264</c:v>
                </c:pt>
                <c:pt idx="120">
                  <c:v>0.15264330799716039</c:v>
                </c:pt>
              </c:numCache>
            </c:numRef>
          </c:yVal>
          <c:smooth val="1"/>
          <c:extLst>
            <c:ext xmlns:c16="http://schemas.microsoft.com/office/drawing/2014/chart" uri="{C3380CC4-5D6E-409C-BE32-E72D297353CC}">
              <c16:uniqueId val="{00000000-9249-4EEC-AF5F-4C10A2AF3E16}"/>
            </c:ext>
          </c:extLst>
        </c:ser>
        <c:ser>
          <c:idx val="1"/>
          <c:order val="1"/>
          <c:tx>
            <c:v>Pico 7 - CAL1</c:v>
          </c:tx>
          <c:spPr>
            <a:ln>
              <a:solidFill>
                <a:srgbClr val="FF0000"/>
              </a:solidFill>
            </a:ln>
          </c:spPr>
          <c:marker>
            <c:symbol val="none"/>
          </c:marker>
          <c:trendline>
            <c:trendlineType val="poly"/>
            <c:order val="6"/>
            <c:dispRSqr val="1"/>
            <c:dispEq val="1"/>
            <c:trendlineLbl>
              <c:layout>
                <c:manualLayout>
                  <c:x val="0.12185931866875774"/>
                  <c:y val="-0.15504773326179919"/>
                </c:manualLayout>
              </c:layout>
              <c:numFmt formatCode="0.000000000000000E+00" sourceLinked="0"/>
            </c:trendlineLbl>
          </c:trendline>
          <c:xVal>
            <c:numRef>
              <c:f>'Registro Tratado'!$B$160:$B$166</c:f>
              <c:numCache>
                <c:formatCode>0.0</c:formatCode>
                <c:ptCount val="7"/>
                <c:pt idx="0">
                  <c:v>450</c:v>
                </c:pt>
                <c:pt idx="1">
                  <c:v>449</c:v>
                </c:pt>
                <c:pt idx="2">
                  <c:v>448</c:v>
                </c:pt>
                <c:pt idx="3">
                  <c:v>447</c:v>
                </c:pt>
                <c:pt idx="4">
                  <c:v>446</c:v>
                </c:pt>
                <c:pt idx="5">
                  <c:v>445</c:v>
                </c:pt>
                <c:pt idx="6">
                  <c:v>444</c:v>
                </c:pt>
              </c:numCache>
            </c:numRef>
          </c:xVal>
          <c:yVal>
            <c:numRef>
              <c:f>'Registro Tratado'!$C$160:$C$166</c:f>
              <c:numCache>
                <c:formatCode>0.000</c:formatCode>
                <c:ptCount val="7"/>
                <c:pt idx="0">
                  <c:v>0.745</c:v>
                </c:pt>
                <c:pt idx="1">
                  <c:v>0.85399999999999998</c:v>
                </c:pt>
                <c:pt idx="2">
                  <c:v>1.038</c:v>
                </c:pt>
                <c:pt idx="3">
                  <c:v>1.125</c:v>
                </c:pt>
                <c:pt idx="4">
                  <c:v>1.0089999999999999</c:v>
                </c:pt>
                <c:pt idx="5">
                  <c:v>0.69299999999999995</c:v>
                </c:pt>
                <c:pt idx="6">
                  <c:v>0.48499999999999999</c:v>
                </c:pt>
              </c:numCache>
            </c:numRef>
          </c:yVal>
          <c:smooth val="1"/>
          <c:extLst>
            <c:ext xmlns:c16="http://schemas.microsoft.com/office/drawing/2014/chart" uri="{C3380CC4-5D6E-409C-BE32-E72D297353CC}">
              <c16:uniqueId val="{00000001-9249-4EEC-AF5F-4C10A2AF3E16}"/>
            </c:ext>
          </c:extLst>
        </c:ser>
        <c:ser>
          <c:idx val="2"/>
          <c:order val="2"/>
          <c:tx>
            <c:v>Pico 7 - Largura de banda</c:v>
          </c:tx>
          <c:spPr>
            <a:ln w="15875">
              <a:solidFill>
                <a:srgbClr val="FFC000"/>
              </a:solidFill>
            </a:ln>
          </c:spPr>
          <c:marker>
            <c:symbol val="none"/>
          </c:marker>
          <c:xVal>
            <c:numRef>
              <c:f>'Registro Tratado'!$AH$154:$CP$154</c:f>
              <c:numCache>
                <c:formatCode>0.0</c:formatCode>
                <c:ptCount val="61"/>
                <c:pt idx="0">
                  <c:v>440</c:v>
                </c:pt>
                <c:pt idx="1">
                  <c:v>440.2</c:v>
                </c:pt>
                <c:pt idx="2">
                  <c:v>440.4</c:v>
                </c:pt>
                <c:pt idx="3">
                  <c:v>440.59999999999997</c:v>
                </c:pt>
                <c:pt idx="4">
                  <c:v>440.79999999999995</c:v>
                </c:pt>
                <c:pt idx="5">
                  <c:v>440.99999999999994</c:v>
                </c:pt>
                <c:pt idx="6">
                  <c:v>441.19999999999993</c:v>
                </c:pt>
                <c:pt idx="7">
                  <c:v>441.39999999999992</c:v>
                </c:pt>
                <c:pt idx="8">
                  <c:v>441.59999999999991</c:v>
                </c:pt>
                <c:pt idx="9">
                  <c:v>441.7999999999999</c:v>
                </c:pt>
                <c:pt idx="10">
                  <c:v>441.99999999999989</c:v>
                </c:pt>
                <c:pt idx="11">
                  <c:v>442.19999999999987</c:v>
                </c:pt>
                <c:pt idx="12">
                  <c:v>442.39999999999986</c:v>
                </c:pt>
                <c:pt idx="13">
                  <c:v>442.59999999999985</c:v>
                </c:pt>
                <c:pt idx="14">
                  <c:v>442.79999999999984</c:v>
                </c:pt>
                <c:pt idx="15">
                  <c:v>442.99999999999983</c:v>
                </c:pt>
                <c:pt idx="16">
                  <c:v>443.19999999999982</c:v>
                </c:pt>
                <c:pt idx="17">
                  <c:v>443.39999999999981</c:v>
                </c:pt>
                <c:pt idx="18">
                  <c:v>443.5999999999998</c:v>
                </c:pt>
                <c:pt idx="19">
                  <c:v>443.79999999999978</c:v>
                </c:pt>
                <c:pt idx="20">
                  <c:v>443.99999999999977</c:v>
                </c:pt>
                <c:pt idx="21">
                  <c:v>444.19999999999976</c:v>
                </c:pt>
                <c:pt idx="22">
                  <c:v>444.39999999999975</c:v>
                </c:pt>
                <c:pt idx="23">
                  <c:v>444.59999999999974</c:v>
                </c:pt>
                <c:pt idx="24">
                  <c:v>444.79999999999973</c:v>
                </c:pt>
                <c:pt idx="25">
                  <c:v>444.99999999999972</c:v>
                </c:pt>
                <c:pt idx="26">
                  <c:v>445.1999999999997</c:v>
                </c:pt>
                <c:pt idx="27">
                  <c:v>445.39999999999969</c:v>
                </c:pt>
                <c:pt idx="28">
                  <c:v>445.59999999999968</c:v>
                </c:pt>
                <c:pt idx="29">
                  <c:v>445.79999999999967</c:v>
                </c:pt>
                <c:pt idx="30">
                  <c:v>445.99999999999966</c:v>
                </c:pt>
                <c:pt idx="31">
                  <c:v>446.19999999999965</c:v>
                </c:pt>
                <c:pt idx="32">
                  <c:v>446.39999999999964</c:v>
                </c:pt>
                <c:pt idx="33">
                  <c:v>446.59999999999962</c:v>
                </c:pt>
                <c:pt idx="34">
                  <c:v>446.79999999999961</c:v>
                </c:pt>
                <c:pt idx="35">
                  <c:v>446.9999999999996</c:v>
                </c:pt>
                <c:pt idx="36">
                  <c:v>447.19999999999959</c:v>
                </c:pt>
                <c:pt idx="37">
                  <c:v>447.39999999999958</c:v>
                </c:pt>
                <c:pt idx="38">
                  <c:v>447.59999999999957</c:v>
                </c:pt>
                <c:pt idx="39">
                  <c:v>447.79999999999956</c:v>
                </c:pt>
                <c:pt idx="40">
                  <c:v>447.99999999999955</c:v>
                </c:pt>
                <c:pt idx="41">
                  <c:v>448.19999999999953</c:v>
                </c:pt>
                <c:pt idx="42">
                  <c:v>448.39999999999952</c:v>
                </c:pt>
                <c:pt idx="43">
                  <c:v>448.59999999999951</c:v>
                </c:pt>
                <c:pt idx="44">
                  <c:v>448.7999999999995</c:v>
                </c:pt>
                <c:pt idx="45">
                  <c:v>448.99999999999949</c:v>
                </c:pt>
                <c:pt idx="46">
                  <c:v>449.19999999999948</c:v>
                </c:pt>
                <c:pt idx="47">
                  <c:v>449.39999999999947</c:v>
                </c:pt>
                <c:pt idx="48">
                  <c:v>449.59999999999945</c:v>
                </c:pt>
                <c:pt idx="49">
                  <c:v>449.79999999999944</c:v>
                </c:pt>
                <c:pt idx="50">
                  <c:v>449.99999999999943</c:v>
                </c:pt>
                <c:pt idx="51">
                  <c:v>450.19999999999942</c:v>
                </c:pt>
                <c:pt idx="52">
                  <c:v>450.39999999999941</c:v>
                </c:pt>
                <c:pt idx="53">
                  <c:v>450.5999999999994</c:v>
                </c:pt>
                <c:pt idx="54">
                  <c:v>450.79999999999939</c:v>
                </c:pt>
                <c:pt idx="55">
                  <c:v>450.99999999999937</c:v>
                </c:pt>
                <c:pt idx="56">
                  <c:v>451.19999999999936</c:v>
                </c:pt>
                <c:pt idx="57">
                  <c:v>451.39999999999935</c:v>
                </c:pt>
                <c:pt idx="58">
                  <c:v>451.59999999999934</c:v>
                </c:pt>
                <c:pt idx="59">
                  <c:v>451.79999999999933</c:v>
                </c:pt>
                <c:pt idx="60">
                  <c:v>451.99999999999932</c:v>
                </c:pt>
              </c:numCache>
            </c:numRef>
          </c:xVal>
          <c:yVal>
            <c:numRef>
              <c:f>'Registro Tratado'!$AH$155:$CP$155</c:f>
              <c:numCache>
                <c:formatCode>0.0000</c:formatCode>
                <c:ptCount val="61"/>
                <c:pt idx="0">
                  <c:v>1.9009499999999999</c:v>
                </c:pt>
                <c:pt idx="1">
                  <c:v>1.9009499999999999</c:v>
                </c:pt>
                <c:pt idx="2">
                  <c:v>1.9009499999999999</c:v>
                </c:pt>
                <c:pt idx="3">
                  <c:v>1.9009499999999999</c:v>
                </c:pt>
                <c:pt idx="4">
                  <c:v>1.9009499999999999</c:v>
                </c:pt>
                <c:pt idx="5">
                  <c:v>1.9009499999999999</c:v>
                </c:pt>
                <c:pt idx="6">
                  <c:v>1.9009499999999999</c:v>
                </c:pt>
                <c:pt idx="7">
                  <c:v>1.9009499999999999</c:v>
                </c:pt>
                <c:pt idx="8">
                  <c:v>1.9009499999999999</c:v>
                </c:pt>
                <c:pt idx="9">
                  <c:v>1.9009499999999999</c:v>
                </c:pt>
                <c:pt idx="10">
                  <c:v>1.9009499999999999</c:v>
                </c:pt>
                <c:pt idx="11">
                  <c:v>1.9009499999999999</c:v>
                </c:pt>
                <c:pt idx="12">
                  <c:v>1.9009499999999999</c:v>
                </c:pt>
                <c:pt idx="13">
                  <c:v>1.9009499999999999</c:v>
                </c:pt>
                <c:pt idx="14">
                  <c:v>1.9009499999999999</c:v>
                </c:pt>
                <c:pt idx="15">
                  <c:v>1.9009499999999999</c:v>
                </c:pt>
                <c:pt idx="16">
                  <c:v>1.9009499999999999</c:v>
                </c:pt>
                <c:pt idx="17">
                  <c:v>1.9009499999999999</c:v>
                </c:pt>
                <c:pt idx="18">
                  <c:v>1.9009499999999999</c:v>
                </c:pt>
                <c:pt idx="19">
                  <c:v>1.9009499999999999</c:v>
                </c:pt>
                <c:pt idx="20">
                  <c:v>1.9009499999999999</c:v>
                </c:pt>
                <c:pt idx="21">
                  <c:v>1.9009499999999999</c:v>
                </c:pt>
                <c:pt idx="22">
                  <c:v>1.9009499999999999</c:v>
                </c:pt>
                <c:pt idx="23">
                  <c:v>1.9009499999999999</c:v>
                </c:pt>
                <c:pt idx="24">
                  <c:v>1.9009499999999999</c:v>
                </c:pt>
                <c:pt idx="25">
                  <c:v>1.9009499999999999</c:v>
                </c:pt>
                <c:pt idx="26">
                  <c:v>1.9009499999999999</c:v>
                </c:pt>
                <c:pt idx="27">
                  <c:v>1.9009499999999999</c:v>
                </c:pt>
                <c:pt idx="28">
                  <c:v>1.9009499999999999</c:v>
                </c:pt>
                <c:pt idx="29">
                  <c:v>1.9009499999999999</c:v>
                </c:pt>
                <c:pt idx="30">
                  <c:v>1.9009499999999999</c:v>
                </c:pt>
                <c:pt idx="31">
                  <c:v>1.9009499999999999</c:v>
                </c:pt>
                <c:pt idx="32">
                  <c:v>1.9009499999999999</c:v>
                </c:pt>
                <c:pt idx="33">
                  <c:v>1.9009499999999999</c:v>
                </c:pt>
                <c:pt idx="34">
                  <c:v>1.9009499999999999</c:v>
                </c:pt>
                <c:pt idx="35">
                  <c:v>1.9009499999999999</c:v>
                </c:pt>
                <c:pt idx="36">
                  <c:v>1.9009499999999999</c:v>
                </c:pt>
                <c:pt idx="37">
                  <c:v>1.9009499999999999</c:v>
                </c:pt>
                <c:pt idx="38">
                  <c:v>1.9009499999999999</c:v>
                </c:pt>
                <c:pt idx="39">
                  <c:v>1.9009499999999999</c:v>
                </c:pt>
                <c:pt idx="40">
                  <c:v>1.9009499999999999</c:v>
                </c:pt>
                <c:pt idx="41">
                  <c:v>1.9009499999999999</c:v>
                </c:pt>
                <c:pt idx="42">
                  <c:v>1.9009499999999999</c:v>
                </c:pt>
                <c:pt idx="43">
                  <c:v>1.9009499999999999</c:v>
                </c:pt>
                <c:pt idx="44">
                  <c:v>1.9009499999999999</c:v>
                </c:pt>
                <c:pt idx="45">
                  <c:v>1.9009499999999999</c:v>
                </c:pt>
                <c:pt idx="46">
                  <c:v>1.9009499999999999</c:v>
                </c:pt>
                <c:pt idx="47">
                  <c:v>1.9009499999999999</c:v>
                </c:pt>
                <c:pt idx="48">
                  <c:v>1.9009499999999999</c:v>
                </c:pt>
                <c:pt idx="49">
                  <c:v>1.9009499999999999</c:v>
                </c:pt>
                <c:pt idx="50">
                  <c:v>1.9009499999999999</c:v>
                </c:pt>
                <c:pt idx="51">
                  <c:v>1.9009499999999999</c:v>
                </c:pt>
                <c:pt idx="52">
                  <c:v>1.9009499999999999</c:v>
                </c:pt>
                <c:pt idx="53">
                  <c:v>1.9009499999999999</c:v>
                </c:pt>
                <c:pt idx="54">
                  <c:v>1.9009499999999999</c:v>
                </c:pt>
                <c:pt idx="55">
                  <c:v>1.9009499999999999</c:v>
                </c:pt>
                <c:pt idx="56">
                  <c:v>1.9009499999999999</c:v>
                </c:pt>
                <c:pt idx="57">
                  <c:v>1.9009499999999999</c:v>
                </c:pt>
                <c:pt idx="58">
                  <c:v>1.9009499999999999</c:v>
                </c:pt>
                <c:pt idx="59">
                  <c:v>1.9009499999999999</c:v>
                </c:pt>
                <c:pt idx="60">
                  <c:v>1.9009499999999999</c:v>
                </c:pt>
              </c:numCache>
            </c:numRef>
          </c:yVal>
          <c:smooth val="1"/>
          <c:extLst>
            <c:ext xmlns:c16="http://schemas.microsoft.com/office/drawing/2014/chart" uri="{C3380CC4-5D6E-409C-BE32-E72D297353CC}">
              <c16:uniqueId val="{00000002-9249-4EEC-AF5F-4C10A2AF3E16}"/>
            </c:ext>
          </c:extLst>
        </c:ser>
        <c:ser>
          <c:idx val="3"/>
          <c:order val="3"/>
          <c:tx>
            <c:v>Pico 7 - CAL2</c:v>
          </c:tx>
          <c:spPr>
            <a:ln>
              <a:solidFill>
                <a:srgbClr val="00B050"/>
              </a:solidFill>
            </a:ln>
          </c:spPr>
          <c:marker>
            <c:symbol val="none"/>
          </c:marker>
          <c:trendline>
            <c:trendlineType val="poly"/>
            <c:order val="6"/>
            <c:dispRSqr val="1"/>
            <c:dispEq val="1"/>
            <c:trendlineLbl>
              <c:layout>
                <c:manualLayout>
                  <c:x val="3.6981491864600514E-2"/>
                  <c:y val="0.12925294157869543"/>
                </c:manualLayout>
              </c:layout>
              <c:numFmt formatCode="0.000000000000E+00" sourceLinked="0"/>
            </c:trendlineLbl>
          </c:trendline>
          <c:xVal>
            <c:numRef>
              <c:f>'Registro Tratado'!$E$160:$E$166</c:f>
              <c:numCache>
                <c:formatCode>0.0</c:formatCode>
                <c:ptCount val="7"/>
                <c:pt idx="0">
                  <c:v>448</c:v>
                </c:pt>
                <c:pt idx="1">
                  <c:v>447.5</c:v>
                </c:pt>
                <c:pt idx="2">
                  <c:v>447</c:v>
                </c:pt>
                <c:pt idx="3">
                  <c:v>446.5</c:v>
                </c:pt>
                <c:pt idx="4">
                  <c:v>446</c:v>
                </c:pt>
                <c:pt idx="5">
                  <c:v>445.5</c:v>
                </c:pt>
                <c:pt idx="6">
                  <c:v>445</c:v>
                </c:pt>
              </c:numCache>
            </c:numRef>
          </c:xVal>
          <c:yVal>
            <c:numRef>
              <c:f>'Registro Tratado'!$F$160:$F$166</c:f>
              <c:numCache>
                <c:formatCode>0.000</c:formatCode>
                <c:ptCount val="7"/>
                <c:pt idx="0">
                  <c:v>0.77200000000000002</c:v>
                </c:pt>
                <c:pt idx="1">
                  <c:v>0.89400000000000002</c:v>
                </c:pt>
                <c:pt idx="2">
                  <c:v>1.0780000000000001</c:v>
                </c:pt>
                <c:pt idx="3">
                  <c:v>1.115</c:v>
                </c:pt>
                <c:pt idx="4">
                  <c:v>0.94199999999999995</c:v>
                </c:pt>
                <c:pt idx="5">
                  <c:v>0.626</c:v>
                </c:pt>
                <c:pt idx="6">
                  <c:v>0.435</c:v>
                </c:pt>
              </c:numCache>
            </c:numRef>
          </c:yVal>
          <c:smooth val="1"/>
          <c:extLst>
            <c:ext xmlns:c16="http://schemas.microsoft.com/office/drawing/2014/chart" uri="{C3380CC4-5D6E-409C-BE32-E72D297353CC}">
              <c16:uniqueId val="{00000003-9249-4EEC-AF5F-4C10A2AF3E16}"/>
            </c:ext>
          </c:extLst>
        </c:ser>
        <c:dLbls>
          <c:showLegendKey val="0"/>
          <c:showVal val="0"/>
          <c:showCatName val="0"/>
          <c:showSerName val="0"/>
          <c:showPercent val="0"/>
          <c:showBubbleSize val="0"/>
        </c:dLbls>
        <c:axId val="77852032"/>
        <c:axId val="77866496"/>
      </c:scatterChart>
      <c:valAx>
        <c:axId val="77852032"/>
        <c:scaling>
          <c:orientation val="minMax"/>
          <c:max val="452"/>
          <c:min val="440"/>
        </c:scaling>
        <c:delete val="0"/>
        <c:axPos val="t"/>
        <c:title>
          <c:tx>
            <c:rich>
              <a:bodyPr/>
              <a:lstStyle/>
              <a:p>
                <a:pPr>
                  <a:defRPr sz="1000" b="1" i="0" u="none" strike="noStrike" baseline="0">
                    <a:solidFill>
                      <a:srgbClr val="000000"/>
                    </a:solidFill>
                    <a:latin typeface="Arial"/>
                    <a:ea typeface="Arial"/>
                    <a:cs typeface="Arial"/>
                  </a:defRPr>
                </a:pPr>
                <a:r>
                  <a:rPr lang="pt-BR"/>
                  <a:t>Comprimento</a:t>
                </a:r>
                <a:r>
                  <a:rPr lang="pt-BR" baseline="0"/>
                  <a:t> de Onda</a:t>
                </a:r>
                <a:r>
                  <a:rPr lang="pt-BR"/>
                  <a:t> [nm]</a:t>
                </a:r>
              </a:p>
            </c:rich>
          </c:tx>
          <c:layout>
            <c:manualLayout>
              <c:xMode val="edge"/>
              <c:yMode val="edge"/>
              <c:x val="0.43979123805746739"/>
              <c:y val="0.89920439303804467"/>
            </c:manualLayout>
          </c:layout>
          <c:overlay val="0"/>
          <c:spPr>
            <a:noFill/>
            <a:ln w="25400">
              <a:noFill/>
            </a:ln>
          </c:spPr>
        </c:title>
        <c:numFmt formatCode="0.0" sourceLinked="0"/>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pt-BR"/>
          </a:p>
        </c:txPr>
        <c:crossAx val="77866496"/>
        <c:crosses val="max"/>
        <c:crossBetween val="midCat"/>
        <c:majorUnit val="1"/>
        <c:minorUnit val="0.2"/>
      </c:valAx>
      <c:valAx>
        <c:axId val="77866496"/>
        <c:scaling>
          <c:orientation val="minMax"/>
          <c:max val="3.3"/>
          <c:min val="0.15000000000000008"/>
        </c:scaling>
        <c:delete val="0"/>
        <c:axPos val="l"/>
        <c:majorGridlines>
          <c:spPr>
            <a:ln w="3175">
              <a:solidFill>
                <a:schemeClr val="bg1">
                  <a:lumMod val="65000"/>
                </a:schemeClr>
              </a:solidFill>
              <a:prstDash val="solid"/>
            </a:ln>
          </c:spPr>
        </c:majorGridlines>
        <c:title>
          <c:tx>
            <c:rich>
              <a:bodyPr/>
              <a:lstStyle/>
              <a:p>
                <a:pPr>
                  <a:defRPr sz="1000" b="1" i="0" u="none" strike="noStrike" baseline="0">
                    <a:solidFill>
                      <a:srgbClr val="000000"/>
                    </a:solidFill>
                    <a:latin typeface="Arial"/>
                    <a:ea typeface="Arial"/>
                    <a:cs typeface="Arial"/>
                  </a:defRPr>
                </a:pPr>
                <a:r>
                  <a:rPr lang="pt-BR"/>
                  <a:t>Absorbância </a:t>
                </a:r>
              </a:p>
            </c:rich>
          </c:tx>
          <c:layout>
            <c:manualLayout>
              <c:xMode val="edge"/>
              <c:yMode val="edge"/>
              <c:x val="1.7353129914374557E-2"/>
              <c:y val="0.33554289681725685"/>
            </c:manualLayout>
          </c:layout>
          <c:overlay val="0"/>
          <c:spPr>
            <a:noFill/>
            <a:ln w="25400">
              <a:noFill/>
            </a:ln>
          </c:spPr>
        </c:title>
        <c:numFmt formatCode="0.00" sourceLinked="0"/>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pt-BR"/>
          </a:p>
        </c:txPr>
        <c:crossAx val="77852032"/>
        <c:crosses val="autoZero"/>
        <c:crossBetween val="midCat"/>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pt-BR"/>
    </a:p>
  </c:txPr>
  <c:printSettings>
    <c:headerFooter alignWithMargins="0"/>
    <c:pageMargins b="0.98425196899999978" l="0.78740157499999996" r="0.78740157499999996" t="0.98425196899999978"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BR" sz="1100" b="1"/>
              <a:t>Pico 4  -  333,8 nm</a:t>
            </a:r>
          </a:p>
        </c:rich>
      </c:tx>
      <c:layout>
        <c:manualLayout>
          <c:xMode val="edge"/>
          <c:yMode val="edge"/>
          <c:x val="0.54164327045688065"/>
          <c:y val="0.1408385163975715"/>
        </c:manualLayout>
      </c:layout>
      <c:overlay val="0"/>
    </c:title>
    <c:autoTitleDeleted val="0"/>
    <c:plotArea>
      <c:layout>
        <c:manualLayout>
          <c:layoutTarget val="inner"/>
          <c:xMode val="edge"/>
          <c:yMode val="edge"/>
          <c:x val="7.4030397363120337E-2"/>
          <c:y val="8.5098873026628372E-2"/>
          <c:w val="0.81675531869566498"/>
          <c:h val="0.74801061007957614"/>
        </c:manualLayout>
      </c:layout>
      <c:scatterChart>
        <c:scatterStyle val="smoothMarker"/>
        <c:varyColors val="0"/>
        <c:ser>
          <c:idx val="0"/>
          <c:order val="0"/>
          <c:tx>
            <c:v>Pico 4</c:v>
          </c:tx>
          <c:spPr>
            <a:ln w="12700">
              <a:solidFill>
                <a:srgbClr val="000080"/>
              </a:solidFill>
              <a:prstDash val="solid"/>
            </a:ln>
          </c:spPr>
          <c:marker>
            <c:symbol val="none"/>
          </c:marker>
          <c:xVal>
            <c:numRef>
              <c:f>'Registro Tratado'!$AD$3407:$AD$3527</c:f>
              <c:numCache>
                <c:formatCode>0.0</c:formatCode>
                <c:ptCount val="121"/>
                <c:pt idx="0">
                  <c:v>339.8</c:v>
                </c:pt>
                <c:pt idx="1">
                  <c:v>339.7</c:v>
                </c:pt>
                <c:pt idx="2">
                  <c:v>339.6</c:v>
                </c:pt>
                <c:pt idx="3">
                  <c:v>339.5</c:v>
                </c:pt>
                <c:pt idx="4">
                  <c:v>339.4</c:v>
                </c:pt>
                <c:pt idx="5">
                  <c:v>339.3</c:v>
                </c:pt>
                <c:pt idx="6">
                  <c:v>339.2</c:v>
                </c:pt>
                <c:pt idx="7">
                  <c:v>339.1</c:v>
                </c:pt>
                <c:pt idx="8">
                  <c:v>339</c:v>
                </c:pt>
                <c:pt idx="9">
                  <c:v>338.9</c:v>
                </c:pt>
                <c:pt idx="10">
                  <c:v>338.8</c:v>
                </c:pt>
                <c:pt idx="11">
                  <c:v>338.7</c:v>
                </c:pt>
                <c:pt idx="12">
                  <c:v>338.6</c:v>
                </c:pt>
                <c:pt idx="13">
                  <c:v>338.5</c:v>
                </c:pt>
                <c:pt idx="14">
                  <c:v>338.4</c:v>
                </c:pt>
                <c:pt idx="15">
                  <c:v>338.3</c:v>
                </c:pt>
                <c:pt idx="16">
                  <c:v>338.2</c:v>
                </c:pt>
                <c:pt idx="17">
                  <c:v>338.1</c:v>
                </c:pt>
                <c:pt idx="18">
                  <c:v>338</c:v>
                </c:pt>
                <c:pt idx="19">
                  <c:v>337.9</c:v>
                </c:pt>
                <c:pt idx="20">
                  <c:v>337.8</c:v>
                </c:pt>
                <c:pt idx="21">
                  <c:v>337.7</c:v>
                </c:pt>
                <c:pt idx="22">
                  <c:v>337.6</c:v>
                </c:pt>
                <c:pt idx="23">
                  <c:v>337.5</c:v>
                </c:pt>
                <c:pt idx="24">
                  <c:v>337.4</c:v>
                </c:pt>
                <c:pt idx="25">
                  <c:v>337.3</c:v>
                </c:pt>
                <c:pt idx="26">
                  <c:v>337.2</c:v>
                </c:pt>
                <c:pt idx="27">
                  <c:v>337.1</c:v>
                </c:pt>
                <c:pt idx="28">
                  <c:v>337</c:v>
                </c:pt>
                <c:pt idx="29">
                  <c:v>336.9</c:v>
                </c:pt>
                <c:pt idx="30">
                  <c:v>336.8</c:v>
                </c:pt>
                <c:pt idx="31">
                  <c:v>336.7</c:v>
                </c:pt>
                <c:pt idx="32">
                  <c:v>336.6</c:v>
                </c:pt>
                <c:pt idx="33">
                  <c:v>336.5</c:v>
                </c:pt>
                <c:pt idx="34">
                  <c:v>336.4</c:v>
                </c:pt>
                <c:pt idx="35">
                  <c:v>336.3</c:v>
                </c:pt>
                <c:pt idx="36">
                  <c:v>336.2</c:v>
                </c:pt>
                <c:pt idx="37">
                  <c:v>336.1</c:v>
                </c:pt>
                <c:pt idx="38">
                  <c:v>336</c:v>
                </c:pt>
                <c:pt idx="39">
                  <c:v>335.9</c:v>
                </c:pt>
                <c:pt idx="40">
                  <c:v>335.8</c:v>
                </c:pt>
                <c:pt idx="41">
                  <c:v>335.7</c:v>
                </c:pt>
                <c:pt idx="42">
                  <c:v>335.6</c:v>
                </c:pt>
                <c:pt idx="43">
                  <c:v>335.5</c:v>
                </c:pt>
                <c:pt idx="44">
                  <c:v>335.4</c:v>
                </c:pt>
                <c:pt idx="45">
                  <c:v>335.3</c:v>
                </c:pt>
                <c:pt idx="46">
                  <c:v>335.2</c:v>
                </c:pt>
                <c:pt idx="47">
                  <c:v>335.1</c:v>
                </c:pt>
                <c:pt idx="48">
                  <c:v>335</c:v>
                </c:pt>
                <c:pt idx="49">
                  <c:v>334.9</c:v>
                </c:pt>
                <c:pt idx="50">
                  <c:v>334.8</c:v>
                </c:pt>
                <c:pt idx="51">
                  <c:v>334.7</c:v>
                </c:pt>
                <c:pt idx="52">
                  <c:v>334.6</c:v>
                </c:pt>
                <c:pt idx="53">
                  <c:v>334.5</c:v>
                </c:pt>
                <c:pt idx="54">
                  <c:v>334.4</c:v>
                </c:pt>
                <c:pt idx="55">
                  <c:v>334.3</c:v>
                </c:pt>
                <c:pt idx="56">
                  <c:v>334.2</c:v>
                </c:pt>
                <c:pt idx="57">
                  <c:v>334.1</c:v>
                </c:pt>
                <c:pt idx="58">
                  <c:v>334</c:v>
                </c:pt>
                <c:pt idx="59">
                  <c:v>333.9</c:v>
                </c:pt>
                <c:pt idx="60">
                  <c:v>333.8</c:v>
                </c:pt>
                <c:pt idx="61">
                  <c:v>333.7</c:v>
                </c:pt>
                <c:pt idx="62">
                  <c:v>333.6</c:v>
                </c:pt>
                <c:pt idx="63">
                  <c:v>333.5</c:v>
                </c:pt>
                <c:pt idx="64">
                  <c:v>333.4</c:v>
                </c:pt>
                <c:pt idx="65">
                  <c:v>333.3</c:v>
                </c:pt>
                <c:pt idx="66">
                  <c:v>333.2</c:v>
                </c:pt>
                <c:pt idx="67">
                  <c:v>333.1</c:v>
                </c:pt>
                <c:pt idx="68">
                  <c:v>333</c:v>
                </c:pt>
                <c:pt idx="69">
                  <c:v>332.9</c:v>
                </c:pt>
                <c:pt idx="70">
                  <c:v>332.8</c:v>
                </c:pt>
                <c:pt idx="71">
                  <c:v>332.7</c:v>
                </c:pt>
                <c:pt idx="72">
                  <c:v>332.6</c:v>
                </c:pt>
                <c:pt idx="73">
                  <c:v>332.5</c:v>
                </c:pt>
                <c:pt idx="74">
                  <c:v>332.4</c:v>
                </c:pt>
                <c:pt idx="75">
                  <c:v>332.3</c:v>
                </c:pt>
                <c:pt idx="76">
                  <c:v>332.2</c:v>
                </c:pt>
                <c:pt idx="77">
                  <c:v>332.1</c:v>
                </c:pt>
                <c:pt idx="78">
                  <c:v>332</c:v>
                </c:pt>
                <c:pt idx="79">
                  <c:v>331.9</c:v>
                </c:pt>
                <c:pt idx="80">
                  <c:v>331.8</c:v>
                </c:pt>
                <c:pt idx="81">
                  <c:v>331.7</c:v>
                </c:pt>
                <c:pt idx="82">
                  <c:v>331.6</c:v>
                </c:pt>
                <c:pt idx="83">
                  <c:v>331.5</c:v>
                </c:pt>
                <c:pt idx="84">
                  <c:v>331.4</c:v>
                </c:pt>
                <c:pt idx="85">
                  <c:v>331.3</c:v>
                </c:pt>
                <c:pt idx="86">
                  <c:v>331.2</c:v>
                </c:pt>
                <c:pt idx="87">
                  <c:v>331.1</c:v>
                </c:pt>
                <c:pt idx="88">
                  <c:v>331</c:v>
                </c:pt>
                <c:pt idx="89">
                  <c:v>330.9</c:v>
                </c:pt>
                <c:pt idx="90">
                  <c:v>330.8</c:v>
                </c:pt>
                <c:pt idx="91">
                  <c:v>330.7</c:v>
                </c:pt>
                <c:pt idx="92">
                  <c:v>330.6</c:v>
                </c:pt>
                <c:pt idx="93">
                  <c:v>330.5</c:v>
                </c:pt>
                <c:pt idx="94">
                  <c:v>330.4</c:v>
                </c:pt>
                <c:pt idx="95">
                  <c:v>330.3</c:v>
                </c:pt>
                <c:pt idx="96">
                  <c:v>330.2</c:v>
                </c:pt>
                <c:pt idx="97">
                  <c:v>330.1</c:v>
                </c:pt>
                <c:pt idx="98">
                  <c:v>330</c:v>
                </c:pt>
                <c:pt idx="99">
                  <c:v>329.9</c:v>
                </c:pt>
                <c:pt idx="100">
                  <c:v>329.8</c:v>
                </c:pt>
                <c:pt idx="101">
                  <c:v>329.7</c:v>
                </c:pt>
                <c:pt idx="102">
                  <c:v>329.6</c:v>
                </c:pt>
                <c:pt idx="103">
                  <c:v>329.5</c:v>
                </c:pt>
                <c:pt idx="104">
                  <c:v>329.4</c:v>
                </c:pt>
                <c:pt idx="105">
                  <c:v>329.3</c:v>
                </c:pt>
                <c:pt idx="106">
                  <c:v>329.2</c:v>
                </c:pt>
                <c:pt idx="107">
                  <c:v>329.1</c:v>
                </c:pt>
                <c:pt idx="108">
                  <c:v>329</c:v>
                </c:pt>
                <c:pt idx="109">
                  <c:v>328.9</c:v>
                </c:pt>
                <c:pt idx="110">
                  <c:v>328.8</c:v>
                </c:pt>
                <c:pt idx="111">
                  <c:v>328.7</c:v>
                </c:pt>
                <c:pt idx="112">
                  <c:v>328.6</c:v>
                </c:pt>
                <c:pt idx="113">
                  <c:v>328.5</c:v>
                </c:pt>
                <c:pt idx="114">
                  <c:v>328.4</c:v>
                </c:pt>
                <c:pt idx="115">
                  <c:v>328.3</c:v>
                </c:pt>
                <c:pt idx="116">
                  <c:v>328.2</c:v>
                </c:pt>
                <c:pt idx="117">
                  <c:v>328.1</c:v>
                </c:pt>
                <c:pt idx="118">
                  <c:v>328</c:v>
                </c:pt>
                <c:pt idx="119">
                  <c:v>327.9</c:v>
                </c:pt>
                <c:pt idx="120">
                  <c:v>327.8</c:v>
                </c:pt>
              </c:numCache>
            </c:numRef>
          </c:xVal>
          <c:yVal>
            <c:numRef>
              <c:f>'Registro Tratado'!$AF$3407:$AF$3527</c:f>
              <c:numCache>
                <c:formatCode>0.0000</c:formatCode>
                <c:ptCount val="121"/>
                <c:pt idx="0">
                  <c:v>8.5704453898715491E-2</c:v>
                </c:pt>
                <c:pt idx="1">
                  <c:v>8.5651553089608992E-2</c:v>
                </c:pt>
                <c:pt idx="2">
                  <c:v>8.5122899104229086E-2</c:v>
                </c:pt>
                <c:pt idx="3">
                  <c:v>8.4547398311521207E-2</c:v>
                </c:pt>
                <c:pt idx="4">
                  <c:v>8.4130768378108053E-2</c:v>
                </c:pt>
                <c:pt idx="5">
                  <c:v>8.3783003978588191E-2</c:v>
                </c:pt>
                <c:pt idx="6">
                  <c:v>8.4204572397933733E-2</c:v>
                </c:pt>
                <c:pt idx="7">
                  <c:v>8.3682941585768666E-2</c:v>
                </c:pt>
                <c:pt idx="8">
                  <c:v>8.3182975148689872E-2</c:v>
                </c:pt>
                <c:pt idx="9">
                  <c:v>8.348288593736039E-2</c:v>
                </c:pt>
                <c:pt idx="10">
                  <c:v>8.4579057427909568E-2</c:v>
                </c:pt>
                <c:pt idx="11">
                  <c:v>8.5561636499948565E-2</c:v>
                </c:pt>
                <c:pt idx="12">
                  <c:v>8.4790177203543135E-2</c:v>
                </c:pt>
                <c:pt idx="13">
                  <c:v>8.5006681536734158E-2</c:v>
                </c:pt>
                <c:pt idx="14">
                  <c:v>8.5085917413747839E-2</c:v>
                </c:pt>
                <c:pt idx="15">
                  <c:v>8.5540482360543318E-2</c:v>
                </c:pt>
                <c:pt idx="16">
                  <c:v>8.6451042093482117E-2</c:v>
                </c:pt>
                <c:pt idx="17">
                  <c:v>8.7368825639638825E-2</c:v>
                </c:pt>
                <c:pt idx="18">
                  <c:v>8.7687585595160156E-2</c:v>
                </c:pt>
                <c:pt idx="19">
                  <c:v>8.8118282991807781E-2</c:v>
                </c:pt>
                <c:pt idx="20">
                  <c:v>8.863461906910855E-2</c:v>
                </c:pt>
                <c:pt idx="21">
                  <c:v>8.8970300493788124E-2</c:v>
                </c:pt>
                <c:pt idx="22">
                  <c:v>9.0107148790359928E-2</c:v>
                </c:pt>
                <c:pt idx="23">
                  <c:v>9.1091616382089027E-2</c:v>
                </c:pt>
                <c:pt idx="24">
                  <c:v>9.1858263014060498E-2</c:v>
                </c:pt>
                <c:pt idx="25">
                  <c:v>9.1922658587919245E-2</c:v>
                </c:pt>
                <c:pt idx="26">
                  <c:v>9.1547152274511615E-2</c:v>
                </c:pt>
                <c:pt idx="27">
                  <c:v>9.1397040611288741E-2</c:v>
                </c:pt>
                <c:pt idx="28">
                  <c:v>9.1579325810986156E-2</c:v>
                </c:pt>
                <c:pt idx="29">
                  <c:v>9.242204829788031E-2</c:v>
                </c:pt>
                <c:pt idx="30">
                  <c:v>9.2911254925704484E-2</c:v>
                </c:pt>
                <c:pt idx="31">
                  <c:v>9.3638017685493222E-2</c:v>
                </c:pt>
                <c:pt idx="32">
                  <c:v>9.3541045686749383E-2</c:v>
                </c:pt>
                <c:pt idx="33">
                  <c:v>9.4895224428672098E-2</c:v>
                </c:pt>
                <c:pt idx="34">
                  <c:v>9.5625317622263381E-2</c:v>
                </c:pt>
                <c:pt idx="35">
                  <c:v>9.6297004887504548E-2</c:v>
                </c:pt>
                <c:pt idx="36">
                  <c:v>9.7252154648514874E-2</c:v>
                </c:pt>
                <c:pt idx="37">
                  <c:v>9.7181531917746505E-2</c:v>
                </c:pt>
                <c:pt idx="38">
                  <c:v>9.8187630469348808E-2</c:v>
                </c:pt>
                <c:pt idx="39">
                  <c:v>9.8797862563290151E-2</c:v>
                </c:pt>
                <c:pt idx="40">
                  <c:v>9.9316143092617049E-2</c:v>
                </c:pt>
                <c:pt idx="41">
                  <c:v>0.10123643549339678</c:v>
                </c:pt>
                <c:pt idx="42">
                  <c:v>0.10298354903831149</c:v>
                </c:pt>
                <c:pt idx="43">
                  <c:v>0.10609959644625723</c:v>
                </c:pt>
                <c:pt idx="44">
                  <c:v>0.10814488208025839</c:v>
                </c:pt>
                <c:pt idx="45">
                  <c:v>0.11086644403327613</c:v>
                </c:pt>
                <c:pt idx="46">
                  <c:v>0.11380266368502634</c:v>
                </c:pt>
                <c:pt idx="47">
                  <c:v>0.11698054598789683</c:v>
                </c:pt>
                <c:pt idx="48">
                  <c:v>0.12163333737485037</c:v>
                </c:pt>
                <c:pt idx="49">
                  <c:v>0.12622615459473402</c:v>
                </c:pt>
                <c:pt idx="50">
                  <c:v>0.13123804178794973</c:v>
                </c:pt>
                <c:pt idx="51">
                  <c:v>0.13730821755487185</c:v>
                </c:pt>
                <c:pt idx="52">
                  <c:v>0.14305371478307047</c:v>
                </c:pt>
                <c:pt idx="53">
                  <c:v>0.14839313221045314</c:v>
                </c:pt>
                <c:pt idx="54">
                  <c:v>0.15485853270888045</c:v>
                </c:pt>
                <c:pt idx="55">
                  <c:v>0.16107538635465016</c:v>
                </c:pt>
                <c:pt idx="56">
                  <c:v>0.16575737448476308</c:v>
                </c:pt>
                <c:pt idx="57">
                  <c:v>0.16948190188279624</c:v>
                </c:pt>
                <c:pt idx="58">
                  <c:v>0.17031035910102896</c:v>
                </c:pt>
                <c:pt idx="59">
                  <c:v>0.17088928984470539</c:v>
                </c:pt>
                <c:pt idx="60">
                  <c:v>0.1699055662744057</c:v>
                </c:pt>
                <c:pt idx="61">
                  <c:v>0.16808545540020678</c:v>
                </c:pt>
                <c:pt idx="62">
                  <c:v>0.16439819849527848</c:v>
                </c:pt>
                <c:pt idx="63">
                  <c:v>0.15976840504189108</c:v>
                </c:pt>
                <c:pt idx="64">
                  <c:v>0.1538299563400001</c:v>
                </c:pt>
                <c:pt idx="65">
                  <c:v>0.14814872431852449</c:v>
                </c:pt>
                <c:pt idx="66">
                  <c:v>0.14167940215983077</c:v>
                </c:pt>
                <c:pt idx="67">
                  <c:v>0.13656411903701357</c:v>
                </c:pt>
                <c:pt idx="68">
                  <c:v>0.13071546388161565</c:v>
                </c:pt>
                <c:pt idx="69">
                  <c:v>0.12482294018529605</c:v>
                </c:pt>
                <c:pt idx="70">
                  <c:v>0.11938645782463268</c:v>
                </c:pt>
                <c:pt idx="71">
                  <c:v>0.11516500211807688</c:v>
                </c:pt>
                <c:pt idx="72">
                  <c:v>0.1111524426436037</c:v>
                </c:pt>
                <c:pt idx="73">
                  <c:v>0.10749913229903256</c:v>
                </c:pt>
                <c:pt idx="74">
                  <c:v>0.10482616704283282</c:v>
                </c:pt>
                <c:pt idx="75">
                  <c:v>0.10298354903831149</c:v>
                </c:pt>
                <c:pt idx="76">
                  <c:v>0.10103361069427923</c:v>
                </c:pt>
                <c:pt idx="77">
                  <c:v>9.9687503016273438E-2</c:v>
                </c:pt>
                <c:pt idx="78">
                  <c:v>9.7540197000704418E-2</c:v>
                </c:pt>
                <c:pt idx="79">
                  <c:v>9.5950197871235973E-2</c:v>
                </c:pt>
                <c:pt idx="80">
                  <c:v>9.4339014642348881E-2</c:v>
                </c:pt>
                <c:pt idx="81">
                  <c:v>9.3083414675009385E-2</c:v>
                </c:pt>
                <c:pt idx="82">
                  <c:v>9.2362950745310549E-2</c:v>
                </c:pt>
                <c:pt idx="83">
                  <c:v>9.0984500870958024E-2</c:v>
                </c:pt>
                <c:pt idx="84">
                  <c:v>8.8874365036881384E-2</c:v>
                </c:pt>
                <c:pt idx="85">
                  <c:v>8.761850108119966E-2</c:v>
                </c:pt>
                <c:pt idx="86">
                  <c:v>8.676382553034917E-2</c:v>
                </c:pt>
                <c:pt idx="87">
                  <c:v>8.5466450985981712E-2</c:v>
                </c:pt>
                <c:pt idx="88">
                  <c:v>8.4811294826843714E-2</c:v>
                </c:pt>
                <c:pt idx="89">
                  <c:v>8.365661320847112E-2</c:v>
                </c:pt>
                <c:pt idx="90">
                  <c:v>8.2226749312270336E-2</c:v>
                </c:pt>
                <c:pt idx="91">
                  <c:v>7.993931685411669E-2</c:v>
                </c:pt>
                <c:pt idx="92">
                  <c:v>7.7830088453994639E-2</c:v>
                </c:pt>
                <c:pt idx="93">
                  <c:v>7.7020369927830332E-2</c:v>
                </c:pt>
                <c:pt idx="94">
                  <c:v>7.5379616544486466E-2</c:v>
                </c:pt>
                <c:pt idx="95">
                  <c:v>7.5240153879839872E-2</c:v>
                </c:pt>
                <c:pt idx="96">
                  <c:v>7.3822246012611087E-2</c:v>
                </c:pt>
                <c:pt idx="97">
                  <c:v>7.3035373286634536E-2</c:v>
                </c:pt>
                <c:pt idx="98">
                  <c:v>7.2444870107773368E-2</c:v>
                </c:pt>
                <c:pt idx="99">
                  <c:v>7.194229156403785E-2</c:v>
                </c:pt>
                <c:pt idx="100">
                  <c:v>7.1440293947000619E-2</c:v>
                </c:pt>
                <c:pt idx="101">
                  <c:v>7.0969558347117226E-2</c:v>
                </c:pt>
                <c:pt idx="102">
                  <c:v>7.0335894857722028E-2</c:v>
                </c:pt>
                <c:pt idx="103">
                  <c:v>6.913243850994763E-2</c:v>
                </c:pt>
                <c:pt idx="104">
                  <c:v>6.8328594365168915E-2</c:v>
                </c:pt>
                <c:pt idx="105">
                  <c:v>6.7348697937635843E-2</c:v>
                </c:pt>
                <c:pt idx="106">
                  <c:v>6.751608837405125E-2</c:v>
                </c:pt>
                <c:pt idx="107">
                  <c:v>6.7911995155421498E-2</c:v>
                </c:pt>
                <c:pt idx="108">
                  <c:v>6.7840908382669901E-2</c:v>
                </c:pt>
                <c:pt idx="109">
                  <c:v>6.830318053033882E-2</c:v>
                </c:pt>
                <c:pt idx="110">
                  <c:v>6.8216784614140338E-2</c:v>
                </c:pt>
                <c:pt idx="111">
                  <c:v>6.80846829187539E-2</c:v>
                </c:pt>
                <c:pt idx="112">
                  <c:v>6.8059283352591482E-2</c:v>
                </c:pt>
                <c:pt idx="113">
                  <c:v>6.7414631923114851E-2</c:v>
                </c:pt>
                <c:pt idx="114">
                  <c:v>6.7571899526464169E-2</c:v>
                </c:pt>
                <c:pt idx="115">
                  <c:v>6.7450138984964991E-2</c:v>
                </c:pt>
                <c:pt idx="116">
                  <c:v>6.7095198933296657E-2</c:v>
                </c:pt>
                <c:pt idx="117">
                  <c:v>6.7085062050213695E-2</c:v>
                </c:pt>
                <c:pt idx="118">
                  <c:v>6.6487404352452623E-2</c:v>
                </c:pt>
                <c:pt idx="119">
                  <c:v>6.6841847810779162E-2</c:v>
                </c:pt>
                <c:pt idx="120">
                  <c:v>6.7805369359213163E-2</c:v>
                </c:pt>
              </c:numCache>
            </c:numRef>
          </c:yVal>
          <c:smooth val="1"/>
          <c:extLst>
            <c:ext xmlns:c16="http://schemas.microsoft.com/office/drawing/2014/chart" uri="{C3380CC4-5D6E-409C-BE32-E72D297353CC}">
              <c16:uniqueId val="{00000000-9AD1-4DAB-9F8F-0442535C2BF9}"/>
            </c:ext>
          </c:extLst>
        </c:ser>
        <c:ser>
          <c:idx val="1"/>
          <c:order val="1"/>
          <c:tx>
            <c:v>Pico 4 - CAL1</c:v>
          </c:tx>
          <c:spPr>
            <a:ln>
              <a:solidFill>
                <a:srgbClr val="FF0000"/>
              </a:solidFill>
            </a:ln>
          </c:spPr>
          <c:marker>
            <c:symbol val="none"/>
          </c:marker>
          <c:trendline>
            <c:trendlineType val="poly"/>
            <c:order val="6"/>
            <c:dispRSqr val="1"/>
            <c:dispEq val="1"/>
            <c:trendlineLbl>
              <c:layout>
                <c:manualLayout>
                  <c:x val="0.11007911936704506"/>
                  <c:y val="-0.15449437083837575"/>
                </c:manualLayout>
              </c:layout>
              <c:numFmt formatCode="0.000000000000000E+00" sourceLinked="0"/>
            </c:trendlineLbl>
          </c:trendline>
          <c:xVal>
            <c:numRef>
              <c:f>'Registro Tratado'!$B$261:$B$266</c:f>
              <c:numCache>
                <c:formatCode>0.0</c:formatCode>
                <c:ptCount val="6"/>
                <c:pt idx="0">
                  <c:v>337</c:v>
                </c:pt>
                <c:pt idx="1">
                  <c:v>336</c:v>
                </c:pt>
                <c:pt idx="2">
                  <c:v>335</c:v>
                </c:pt>
                <c:pt idx="3">
                  <c:v>334</c:v>
                </c:pt>
                <c:pt idx="4">
                  <c:v>333</c:v>
                </c:pt>
                <c:pt idx="5">
                  <c:v>332</c:v>
                </c:pt>
              </c:numCache>
            </c:numRef>
          </c:xVal>
          <c:yVal>
            <c:numRef>
              <c:f>'Registro Tratado'!$C$261:$C$266</c:f>
              <c:numCache>
                <c:formatCode>0.000</c:formatCode>
                <c:ptCount val="6"/>
                <c:pt idx="0">
                  <c:v>8.6999999999999994E-2</c:v>
                </c:pt>
                <c:pt idx="1">
                  <c:v>9.6000000000000002E-2</c:v>
                </c:pt>
                <c:pt idx="2">
                  <c:v>0.10299999999999999</c:v>
                </c:pt>
                <c:pt idx="3">
                  <c:v>0.10100000000000001</c:v>
                </c:pt>
                <c:pt idx="4">
                  <c:v>9.4E-2</c:v>
                </c:pt>
                <c:pt idx="5">
                  <c:v>7.8E-2</c:v>
                </c:pt>
              </c:numCache>
            </c:numRef>
          </c:yVal>
          <c:smooth val="1"/>
          <c:extLst>
            <c:ext xmlns:c16="http://schemas.microsoft.com/office/drawing/2014/chart" uri="{C3380CC4-5D6E-409C-BE32-E72D297353CC}">
              <c16:uniqueId val="{00000001-9AD1-4DAB-9F8F-0442535C2BF9}"/>
            </c:ext>
          </c:extLst>
        </c:ser>
        <c:ser>
          <c:idx val="2"/>
          <c:order val="2"/>
          <c:tx>
            <c:v>Pico 4 - Largura de banda</c:v>
          </c:tx>
          <c:spPr>
            <a:ln w="15875">
              <a:solidFill>
                <a:srgbClr val="FFC000"/>
              </a:solidFill>
            </a:ln>
          </c:spPr>
          <c:marker>
            <c:symbol val="none"/>
          </c:marker>
          <c:xVal>
            <c:numRef>
              <c:f>'Registro Tratado'!$AH$254:$CP$254</c:f>
              <c:numCache>
                <c:formatCode>0.0</c:formatCode>
                <c:ptCount val="61"/>
                <c:pt idx="0">
                  <c:v>327.8</c:v>
                </c:pt>
                <c:pt idx="1">
                  <c:v>328</c:v>
                </c:pt>
                <c:pt idx="2">
                  <c:v>328.2</c:v>
                </c:pt>
                <c:pt idx="3">
                  <c:v>328.4</c:v>
                </c:pt>
                <c:pt idx="4">
                  <c:v>328.59999999999997</c:v>
                </c:pt>
                <c:pt idx="5">
                  <c:v>328.79999999999995</c:v>
                </c:pt>
                <c:pt idx="6">
                  <c:v>328.99999999999994</c:v>
                </c:pt>
                <c:pt idx="7">
                  <c:v>329.19999999999993</c:v>
                </c:pt>
                <c:pt idx="8">
                  <c:v>329.39999999999992</c:v>
                </c:pt>
                <c:pt idx="9">
                  <c:v>329.59999999999991</c:v>
                </c:pt>
                <c:pt idx="10">
                  <c:v>329.7999999999999</c:v>
                </c:pt>
                <c:pt idx="11">
                  <c:v>329.99999999999989</c:v>
                </c:pt>
                <c:pt idx="12">
                  <c:v>330.19999999999987</c:v>
                </c:pt>
                <c:pt idx="13">
                  <c:v>330.39999999999986</c:v>
                </c:pt>
                <c:pt idx="14">
                  <c:v>330.59999999999985</c:v>
                </c:pt>
                <c:pt idx="15">
                  <c:v>330.79999999999984</c:v>
                </c:pt>
                <c:pt idx="16">
                  <c:v>330.99999999999983</c:v>
                </c:pt>
                <c:pt idx="17">
                  <c:v>331.19999999999982</c:v>
                </c:pt>
                <c:pt idx="18">
                  <c:v>331.39999999999981</c:v>
                </c:pt>
                <c:pt idx="19">
                  <c:v>331.5999999999998</c:v>
                </c:pt>
                <c:pt idx="20">
                  <c:v>331.79999999999978</c:v>
                </c:pt>
                <c:pt idx="21">
                  <c:v>331.99999999999977</c:v>
                </c:pt>
                <c:pt idx="22">
                  <c:v>332.19999999999976</c:v>
                </c:pt>
                <c:pt idx="23">
                  <c:v>332.39999999999975</c:v>
                </c:pt>
                <c:pt idx="24">
                  <c:v>332.59999999999974</c:v>
                </c:pt>
                <c:pt idx="25">
                  <c:v>332.79999999999973</c:v>
                </c:pt>
                <c:pt idx="26">
                  <c:v>332.99999999999972</c:v>
                </c:pt>
                <c:pt idx="27">
                  <c:v>333.1999999999997</c:v>
                </c:pt>
                <c:pt idx="28">
                  <c:v>333.39999999999969</c:v>
                </c:pt>
                <c:pt idx="29">
                  <c:v>333.59999999999968</c:v>
                </c:pt>
                <c:pt idx="30">
                  <c:v>333.79999999999967</c:v>
                </c:pt>
                <c:pt idx="31">
                  <c:v>333.99999999999966</c:v>
                </c:pt>
                <c:pt idx="32">
                  <c:v>334.19999999999965</c:v>
                </c:pt>
                <c:pt idx="33">
                  <c:v>334.39999999999964</c:v>
                </c:pt>
                <c:pt idx="34">
                  <c:v>334.59999999999962</c:v>
                </c:pt>
                <c:pt idx="35">
                  <c:v>334.79999999999961</c:v>
                </c:pt>
                <c:pt idx="36">
                  <c:v>334.9999999999996</c:v>
                </c:pt>
                <c:pt idx="37">
                  <c:v>335.19999999999959</c:v>
                </c:pt>
                <c:pt idx="38">
                  <c:v>335.39999999999958</c:v>
                </c:pt>
                <c:pt idx="39">
                  <c:v>335.59999999999957</c:v>
                </c:pt>
                <c:pt idx="40">
                  <c:v>335.79999999999956</c:v>
                </c:pt>
                <c:pt idx="41">
                  <c:v>335.99999999999955</c:v>
                </c:pt>
                <c:pt idx="42">
                  <c:v>336.19999999999953</c:v>
                </c:pt>
                <c:pt idx="43">
                  <c:v>336.39999999999952</c:v>
                </c:pt>
                <c:pt idx="44">
                  <c:v>336.59999999999951</c:v>
                </c:pt>
                <c:pt idx="45">
                  <c:v>336.7999999999995</c:v>
                </c:pt>
                <c:pt idx="46">
                  <c:v>336.99999999999949</c:v>
                </c:pt>
                <c:pt idx="47">
                  <c:v>337.19999999999948</c:v>
                </c:pt>
                <c:pt idx="48">
                  <c:v>337.39999999999947</c:v>
                </c:pt>
                <c:pt idx="49">
                  <c:v>337.59999999999945</c:v>
                </c:pt>
                <c:pt idx="50">
                  <c:v>337.79999999999944</c:v>
                </c:pt>
                <c:pt idx="51">
                  <c:v>337.99999999999943</c:v>
                </c:pt>
                <c:pt idx="52">
                  <c:v>338.19999999999942</c:v>
                </c:pt>
                <c:pt idx="53">
                  <c:v>338.39999999999941</c:v>
                </c:pt>
                <c:pt idx="54">
                  <c:v>338.5999999999994</c:v>
                </c:pt>
                <c:pt idx="55">
                  <c:v>338.79999999999939</c:v>
                </c:pt>
                <c:pt idx="56">
                  <c:v>338.99999999999937</c:v>
                </c:pt>
                <c:pt idx="57">
                  <c:v>339.19999999999936</c:v>
                </c:pt>
                <c:pt idx="58">
                  <c:v>339.39999999999935</c:v>
                </c:pt>
                <c:pt idx="59">
                  <c:v>339.59999999999934</c:v>
                </c:pt>
                <c:pt idx="60">
                  <c:v>339.79999999999933</c:v>
                </c:pt>
              </c:numCache>
            </c:numRef>
          </c:xVal>
          <c:yVal>
            <c:numRef>
              <c:f>'Registro Tratado'!$AH$255:$CP$255</c:f>
              <c:numCache>
                <c:formatCode>0.0000</c:formatCode>
                <c:ptCount val="61"/>
                <c:pt idx="0">
                  <c:v>0.12705</c:v>
                </c:pt>
                <c:pt idx="1">
                  <c:v>0.12705</c:v>
                </c:pt>
                <c:pt idx="2">
                  <c:v>0.12705</c:v>
                </c:pt>
                <c:pt idx="3">
                  <c:v>0.12705</c:v>
                </c:pt>
                <c:pt idx="4">
                  <c:v>0.12705</c:v>
                </c:pt>
                <c:pt idx="5">
                  <c:v>0.12705</c:v>
                </c:pt>
                <c:pt idx="6">
                  <c:v>0.12705</c:v>
                </c:pt>
                <c:pt idx="7">
                  <c:v>0.12705</c:v>
                </c:pt>
                <c:pt idx="8">
                  <c:v>0.12705</c:v>
                </c:pt>
                <c:pt idx="9">
                  <c:v>0.12705</c:v>
                </c:pt>
                <c:pt idx="10">
                  <c:v>0.12705</c:v>
                </c:pt>
                <c:pt idx="11">
                  <c:v>0.12705</c:v>
                </c:pt>
                <c:pt idx="12">
                  <c:v>0.12705</c:v>
                </c:pt>
                <c:pt idx="13">
                  <c:v>0.12705</c:v>
                </c:pt>
                <c:pt idx="14">
                  <c:v>0.12705</c:v>
                </c:pt>
                <c:pt idx="15">
                  <c:v>0.12705</c:v>
                </c:pt>
                <c:pt idx="16">
                  <c:v>0.12705</c:v>
                </c:pt>
                <c:pt idx="17">
                  <c:v>0.12705</c:v>
                </c:pt>
                <c:pt idx="18">
                  <c:v>0.12705</c:v>
                </c:pt>
                <c:pt idx="19">
                  <c:v>0.12705</c:v>
                </c:pt>
                <c:pt idx="20">
                  <c:v>0.12705</c:v>
                </c:pt>
                <c:pt idx="21">
                  <c:v>0.12705</c:v>
                </c:pt>
                <c:pt idx="22">
                  <c:v>0.12705</c:v>
                </c:pt>
                <c:pt idx="23">
                  <c:v>0.12705</c:v>
                </c:pt>
                <c:pt idx="24">
                  <c:v>0.12705</c:v>
                </c:pt>
                <c:pt idx="25">
                  <c:v>0.12705</c:v>
                </c:pt>
                <c:pt idx="26">
                  <c:v>0.12705</c:v>
                </c:pt>
                <c:pt idx="27">
                  <c:v>0.12705</c:v>
                </c:pt>
                <c:pt idx="28">
                  <c:v>0.12705</c:v>
                </c:pt>
                <c:pt idx="29">
                  <c:v>0.12705</c:v>
                </c:pt>
                <c:pt idx="30">
                  <c:v>0.12705</c:v>
                </c:pt>
                <c:pt idx="31">
                  <c:v>0.12705</c:v>
                </c:pt>
                <c:pt idx="32">
                  <c:v>0.12705</c:v>
                </c:pt>
                <c:pt idx="33">
                  <c:v>0.12705</c:v>
                </c:pt>
                <c:pt idx="34">
                  <c:v>0.12705</c:v>
                </c:pt>
                <c:pt idx="35">
                  <c:v>0.12705</c:v>
                </c:pt>
                <c:pt idx="36">
                  <c:v>0.12705</c:v>
                </c:pt>
                <c:pt idx="37">
                  <c:v>0.12705</c:v>
                </c:pt>
                <c:pt idx="38">
                  <c:v>0.12705</c:v>
                </c:pt>
                <c:pt idx="39">
                  <c:v>0.12705</c:v>
                </c:pt>
                <c:pt idx="40">
                  <c:v>0.12705</c:v>
                </c:pt>
                <c:pt idx="41">
                  <c:v>0.12705</c:v>
                </c:pt>
                <c:pt idx="42">
                  <c:v>0.12705</c:v>
                </c:pt>
                <c:pt idx="43">
                  <c:v>0.12705</c:v>
                </c:pt>
                <c:pt idx="44">
                  <c:v>0.12705</c:v>
                </c:pt>
                <c:pt idx="45">
                  <c:v>0.12705</c:v>
                </c:pt>
                <c:pt idx="46">
                  <c:v>0.12705</c:v>
                </c:pt>
                <c:pt idx="47">
                  <c:v>0.12705</c:v>
                </c:pt>
                <c:pt idx="48">
                  <c:v>0.12705</c:v>
                </c:pt>
                <c:pt idx="49">
                  <c:v>0.12705</c:v>
                </c:pt>
                <c:pt idx="50">
                  <c:v>0.12705</c:v>
                </c:pt>
                <c:pt idx="51">
                  <c:v>0.12705</c:v>
                </c:pt>
                <c:pt idx="52">
                  <c:v>0.12705</c:v>
                </c:pt>
                <c:pt idx="53">
                  <c:v>0.12705</c:v>
                </c:pt>
                <c:pt idx="54">
                  <c:v>0.12705</c:v>
                </c:pt>
                <c:pt idx="55">
                  <c:v>0.12705</c:v>
                </c:pt>
                <c:pt idx="56">
                  <c:v>0.12705</c:v>
                </c:pt>
                <c:pt idx="57">
                  <c:v>0.12705</c:v>
                </c:pt>
                <c:pt idx="58">
                  <c:v>0.12705</c:v>
                </c:pt>
                <c:pt idx="59">
                  <c:v>0.12705</c:v>
                </c:pt>
                <c:pt idx="60">
                  <c:v>0.12705</c:v>
                </c:pt>
              </c:numCache>
            </c:numRef>
          </c:yVal>
          <c:smooth val="1"/>
          <c:extLst>
            <c:ext xmlns:c16="http://schemas.microsoft.com/office/drawing/2014/chart" uri="{C3380CC4-5D6E-409C-BE32-E72D297353CC}">
              <c16:uniqueId val="{00000002-9AD1-4DAB-9F8F-0442535C2BF9}"/>
            </c:ext>
          </c:extLst>
        </c:ser>
        <c:ser>
          <c:idx val="3"/>
          <c:order val="3"/>
          <c:tx>
            <c:v>Pico 4 - CAL2</c:v>
          </c:tx>
          <c:spPr>
            <a:ln>
              <a:solidFill>
                <a:srgbClr val="00B050"/>
              </a:solidFill>
            </a:ln>
          </c:spPr>
          <c:marker>
            <c:symbol val="none"/>
          </c:marker>
          <c:trendline>
            <c:trendlineType val="poly"/>
            <c:order val="6"/>
            <c:dispRSqr val="1"/>
            <c:dispEq val="1"/>
            <c:trendlineLbl>
              <c:layout>
                <c:manualLayout>
                  <c:x val="0.11007911936704506"/>
                  <c:y val="0.13300160833189265"/>
                </c:manualLayout>
              </c:layout>
              <c:numFmt formatCode="0.000000000000000E+00" sourceLinked="0"/>
            </c:trendlineLbl>
          </c:trendline>
          <c:xVal>
            <c:numRef>
              <c:f>'Registro Tratado'!$E$261:$E$266</c:f>
              <c:numCache>
                <c:formatCode>0.0</c:formatCode>
                <c:ptCount val="6"/>
                <c:pt idx="0">
                  <c:v>335.5</c:v>
                </c:pt>
                <c:pt idx="1">
                  <c:v>335</c:v>
                </c:pt>
                <c:pt idx="2">
                  <c:v>334.5</c:v>
                </c:pt>
                <c:pt idx="3">
                  <c:v>334</c:v>
                </c:pt>
                <c:pt idx="4">
                  <c:v>333.5</c:v>
                </c:pt>
                <c:pt idx="5">
                  <c:v>333</c:v>
                </c:pt>
              </c:numCache>
            </c:numRef>
          </c:xVal>
          <c:yVal>
            <c:numRef>
              <c:f>'Registro Tratado'!$F$261:$F$266</c:f>
              <c:numCache>
                <c:formatCode>0.000</c:formatCode>
                <c:ptCount val="6"/>
                <c:pt idx="0">
                  <c:v>0.09</c:v>
                </c:pt>
                <c:pt idx="1">
                  <c:v>9.9000000000000005E-2</c:v>
                </c:pt>
                <c:pt idx="2">
                  <c:v>0.10299999999999999</c:v>
                </c:pt>
                <c:pt idx="3">
                  <c:v>9.9000000000000005E-2</c:v>
                </c:pt>
                <c:pt idx="4">
                  <c:v>0.09</c:v>
                </c:pt>
                <c:pt idx="5">
                  <c:v>7.3999999999999996E-2</c:v>
                </c:pt>
              </c:numCache>
            </c:numRef>
          </c:yVal>
          <c:smooth val="1"/>
          <c:extLst>
            <c:ext xmlns:c16="http://schemas.microsoft.com/office/drawing/2014/chart" uri="{C3380CC4-5D6E-409C-BE32-E72D297353CC}">
              <c16:uniqueId val="{00000003-9AD1-4DAB-9F8F-0442535C2BF9}"/>
            </c:ext>
          </c:extLst>
        </c:ser>
        <c:dLbls>
          <c:showLegendKey val="0"/>
          <c:showVal val="0"/>
          <c:showCatName val="0"/>
          <c:showSerName val="0"/>
          <c:showPercent val="0"/>
          <c:showBubbleSize val="0"/>
        </c:dLbls>
        <c:axId val="77933568"/>
        <c:axId val="77943936"/>
      </c:scatterChart>
      <c:valAx>
        <c:axId val="77933568"/>
        <c:scaling>
          <c:orientation val="minMax"/>
          <c:max val="339.8"/>
          <c:min val="327.8"/>
        </c:scaling>
        <c:delete val="0"/>
        <c:axPos val="t"/>
        <c:title>
          <c:tx>
            <c:rich>
              <a:bodyPr/>
              <a:lstStyle/>
              <a:p>
                <a:pPr>
                  <a:defRPr sz="1000" b="1" i="0" u="none" strike="noStrike" baseline="0">
                    <a:solidFill>
                      <a:srgbClr val="000000"/>
                    </a:solidFill>
                    <a:latin typeface="Arial"/>
                    <a:ea typeface="Arial"/>
                    <a:cs typeface="Arial"/>
                  </a:defRPr>
                </a:pPr>
                <a:r>
                  <a:rPr lang="pt-BR"/>
                  <a:t>Comprimento</a:t>
                </a:r>
                <a:r>
                  <a:rPr lang="pt-BR" baseline="0"/>
                  <a:t> de Onda</a:t>
                </a:r>
                <a:r>
                  <a:rPr lang="pt-BR"/>
                  <a:t> [nm]</a:t>
                </a:r>
              </a:p>
            </c:rich>
          </c:tx>
          <c:layout>
            <c:manualLayout>
              <c:xMode val="edge"/>
              <c:yMode val="edge"/>
              <c:x val="0.43979123805746739"/>
              <c:y val="0.89920390254248539"/>
            </c:manualLayout>
          </c:layout>
          <c:overlay val="0"/>
          <c:spPr>
            <a:noFill/>
            <a:ln w="25400">
              <a:noFill/>
            </a:ln>
          </c:spPr>
        </c:title>
        <c:numFmt formatCode="0.0" sourceLinked="0"/>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pt-BR"/>
          </a:p>
        </c:txPr>
        <c:crossAx val="77943936"/>
        <c:crosses val="max"/>
        <c:crossBetween val="midCat"/>
        <c:majorUnit val="1"/>
        <c:minorUnit val="0.2"/>
      </c:valAx>
      <c:valAx>
        <c:axId val="77943936"/>
        <c:scaling>
          <c:orientation val="minMax"/>
          <c:max val="0.18000000000000008"/>
          <c:min val="6.0000000000000026E-2"/>
        </c:scaling>
        <c:delete val="0"/>
        <c:axPos val="l"/>
        <c:majorGridlines>
          <c:spPr>
            <a:ln w="3175">
              <a:solidFill>
                <a:schemeClr val="bg1">
                  <a:lumMod val="65000"/>
                </a:schemeClr>
              </a:solidFill>
              <a:prstDash val="solid"/>
            </a:ln>
          </c:spPr>
        </c:majorGridlines>
        <c:title>
          <c:tx>
            <c:rich>
              <a:bodyPr/>
              <a:lstStyle/>
              <a:p>
                <a:pPr>
                  <a:defRPr sz="1000" b="1" i="0" u="none" strike="noStrike" baseline="0">
                    <a:solidFill>
                      <a:srgbClr val="000000"/>
                    </a:solidFill>
                    <a:latin typeface="Arial"/>
                    <a:ea typeface="Arial"/>
                    <a:cs typeface="Arial"/>
                  </a:defRPr>
                </a:pPr>
                <a:r>
                  <a:rPr lang="pt-BR"/>
                  <a:t>Absorbância </a:t>
                </a:r>
              </a:p>
            </c:rich>
          </c:tx>
          <c:layout>
            <c:manualLayout>
              <c:xMode val="edge"/>
              <c:yMode val="edge"/>
              <c:x val="1.8593473297474759E-2"/>
              <c:y val="0.33949892627057993"/>
            </c:manualLayout>
          </c:layout>
          <c:overlay val="0"/>
          <c:spPr>
            <a:noFill/>
            <a:ln w="25400">
              <a:noFill/>
            </a:ln>
          </c:spPr>
        </c:title>
        <c:numFmt formatCode="0.00" sourceLinked="0"/>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pt-BR"/>
          </a:p>
        </c:txPr>
        <c:crossAx val="77933568"/>
        <c:crossesAt val="284"/>
        <c:crossBetween val="midCat"/>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pt-BR"/>
    </a:p>
  </c:txPr>
  <c:printSettings>
    <c:headerFooter alignWithMargins="0"/>
    <c:pageMargins b="0.98425196899999978" l="0.78740157499999996" r="0.78740157499999996" t="0.98425196899999978" header="0.5" footer="0.5"/>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BR" sz="1100" b="1"/>
              <a:t>Pico 6 NIST  -  385,8 nm</a:t>
            </a:r>
          </a:p>
        </c:rich>
      </c:tx>
      <c:layout>
        <c:manualLayout>
          <c:xMode val="edge"/>
          <c:yMode val="edge"/>
          <c:x val="0.57254488519470215"/>
          <c:y val="0.15273645575179606"/>
        </c:manualLayout>
      </c:layout>
      <c:overlay val="0"/>
    </c:title>
    <c:autoTitleDeleted val="0"/>
    <c:plotArea>
      <c:layout>
        <c:manualLayout>
          <c:layoutTarget val="inner"/>
          <c:xMode val="edge"/>
          <c:yMode val="edge"/>
          <c:x val="7.7751327595678474E-2"/>
          <c:y val="6.1360000623067519E-2"/>
          <c:w val="0.81675531869566498"/>
          <c:h val="0.74801061007957614"/>
        </c:manualLayout>
      </c:layout>
      <c:scatterChart>
        <c:scatterStyle val="smoothMarker"/>
        <c:varyColors val="0"/>
        <c:ser>
          <c:idx val="0"/>
          <c:order val="0"/>
          <c:tx>
            <c:v>Pico 6</c:v>
          </c:tx>
          <c:spPr>
            <a:ln w="12700">
              <a:solidFill>
                <a:srgbClr val="000080"/>
              </a:solidFill>
              <a:prstDash val="solid"/>
            </a:ln>
          </c:spPr>
          <c:marker>
            <c:symbol val="none"/>
          </c:marker>
          <c:xVal>
            <c:numRef>
              <c:f>'Registro Tratado'!$AD$2885:$AD$3005</c:f>
              <c:numCache>
                <c:formatCode>0.0</c:formatCode>
                <c:ptCount val="121"/>
                <c:pt idx="0">
                  <c:v>392</c:v>
                </c:pt>
                <c:pt idx="1">
                  <c:v>391.9</c:v>
                </c:pt>
                <c:pt idx="2">
                  <c:v>391.8</c:v>
                </c:pt>
                <c:pt idx="3">
                  <c:v>391.7</c:v>
                </c:pt>
                <c:pt idx="4">
                  <c:v>391.6</c:v>
                </c:pt>
                <c:pt idx="5">
                  <c:v>391.5</c:v>
                </c:pt>
                <c:pt idx="6">
                  <c:v>391.4</c:v>
                </c:pt>
                <c:pt idx="7">
                  <c:v>391.3</c:v>
                </c:pt>
                <c:pt idx="8">
                  <c:v>391.2</c:v>
                </c:pt>
                <c:pt idx="9">
                  <c:v>391.1</c:v>
                </c:pt>
                <c:pt idx="10">
                  <c:v>391</c:v>
                </c:pt>
                <c:pt idx="11">
                  <c:v>390.9</c:v>
                </c:pt>
                <c:pt idx="12">
                  <c:v>390.8</c:v>
                </c:pt>
                <c:pt idx="13">
                  <c:v>390.7</c:v>
                </c:pt>
                <c:pt idx="14">
                  <c:v>390.6</c:v>
                </c:pt>
                <c:pt idx="15">
                  <c:v>390.5</c:v>
                </c:pt>
                <c:pt idx="16">
                  <c:v>390.4</c:v>
                </c:pt>
                <c:pt idx="17">
                  <c:v>390.3</c:v>
                </c:pt>
                <c:pt idx="18">
                  <c:v>390.2</c:v>
                </c:pt>
                <c:pt idx="19">
                  <c:v>390.1</c:v>
                </c:pt>
                <c:pt idx="20">
                  <c:v>390</c:v>
                </c:pt>
                <c:pt idx="21">
                  <c:v>389.9</c:v>
                </c:pt>
                <c:pt idx="22">
                  <c:v>389.8</c:v>
                </c:pt>
                <c:pt idx="23">
                  <c:v>389.7</c:v>
                </c:pt>
                <c:pt idx="24">
                  <c:v>389.6</c:v>
                </c:pt>
                <c:pt idx="25">
                  <c:v>389.5</c:v>
                </c:pt>
                <c:pt idx="26">
                  <c:v>389.4</c:v>
                </c:pt>
                <c:pt idx="27">
                  <c:v>389.3</c:v>
                </c:pt>
                <c:pt idx="28">
                  <c:v>389.2</c:v>
                </c:pt>
                <c:pt idx="29">
                  <c:v>389.1</c:v>
                </c:pt>
                <c:pt idx="30">
                  <c:v>389</c:v>
                </c:pt>
                <c:pt idx="31">
                  <c:v>388.9</c:v>
                </c:pt>
                <c:pt idx="32">
                  <c:v>388.8</c:v>
                </c:pt>
                <c:pt idx="33">
                  <c:v>388.7</c:v>
                </c:pt>
                <c:pt idx="34">
                  <c:v>388.6</c:v>
                </c:pt>
                <c:pt idx="35">
                  <c:v>388.5</c:v>
                </c:pt>
                <c:pt idx="36">
                  <c:v>388.4</c:v>
                </c:pt>
                <c:pt idx="37">
                  <c:v>388.3</c:v>
                </c:pt>
                <c:pt idx="38">
                  <c:v>388.2</c:v>
                </c:pt>
                <c:pt idx="39">
                  <c:v>388.1</c:v>
                </c:pt>
                <c:pt idx="40">
                  <c:v>388</c:v>
                </c:pt>
                <c:pt idx="41">
                  <c:v>387.9</c:v>
                </c:pt>
                <c:pt idx="42">
                  <c:v>387.8</c:v>
                </c:pt>
                <c:pt idx="43">
                  <c:v>387.7</c:v>
                </c:pt>
                <c:pt idx="44">
                  <c:v>387.6</c:v>
                </c:pt>
                <c:pt idx="45">
                  <c:v>387.5</c:v>
                </c:pt>
                <c:pt idx="46">
                  <c:v>387.4</c:v>
                </c:pt>
                <c:pt idx="47">
                  <c:v>387.3</c:v>
                </c:pt>
                <c:pt idx="48">
                  <c:v>387.2</c:v>
                </c:pt>
                <c:pt idx="49">
                  <c:v>387.1</c:v>
                </c:pt>
                <c:pt idx="50">
                  <c:v>387</c:v>
                </c:pt>
                <c:pt idx="51">
                  <c:v>386.9</c:v>
                </c:pt>
                <c:pt idx="52">
                  <c:v>386.8</c:v>
                </c:pt>
                <c:pt idx="53">
                  <c:v>386.7</c:v>
                </c:pt>
                <c:pt idx="54">
                  <c:v>386.6</c:v>
                </c:pt>
                <c:pt idx="55">
                  <c:v>386.5</c:v>
                </c:pt>
                <c:pt idx="56">
                  <c:v>386.4</c:v>
                </c:pt>
                <c:pt idx="57">
                  <c:v>386.3</c:v>
                </c:pt>
                <c:pt idx="58">
                  <c:v>386.2</c:v>
                </c:pt>
                <c:pt idx="59">
                  <c:v>386.1</c:v>
                </c:pt>
                <c:pt idx="60">
                  <c:v>386</c:v>
                </c:pt>
                <c:pt idx="61">
                  <c:v>385.9</c:v>
                </c:pt>
                <c:pt idx="62">
                  <c:v>385.8</c:v>
                </c:pt>
                <c:pt idx="63">
                  <c:v>385.7</c:v>
                </c:pt>
                <c:pt idx="64">
                  <c:v>385.6</c:v>
                </c:pt>
                <c:pt idx="65">
                  <c:v>385.5</c:v>
                </c:pt>
                <c:pt idx="66">
                  <c:v>385.4</c:v>
                </c:pt>
                <c:pt idx="67">
                  <c:v>385.3</c:v>
                </c:pt>
                <c:pt idx="68">
                  <c:v>385.2</c:v>
                </c:pt>
                <c:pt idx="69">
                  <c:v>385.1</c:v>
                </c:pt>
                <c:pt idx="70">
                  <c:v>385</c:v>
                </c:pt>
                <c:pt idx="71">
                  <c:v>384.9</c:v>
                </c:pt>
                <c:pt idx="72">
                  <c:v>384.8</c:v>
                </c:pt>
                <c:pt idx="73">
                  <c:v>384.7</c:v>
                </c:pt>
                <c:pt idx="74">
                  <c:v>384.6</c:v>
                </c:pt>
                <c:pt idx="75">
                  <c:v>384.5</c:v>
                </c:pt>
                <c:pt idx="76">
                  <c:v>384.4</c:v>
                </c:pt>
                <c:pt idx="77">
                  <c:v>384.3</c:v>
                </c:pt>
                <c:pt idx="78">
                  <c:v>384.2</c:v>
                </c:pt>
                <c:pt idx="79">
                  <c:v>384.1</c:v>
                </c:pt>
                <c:pt idx="80">
                  <c:v>384</c:v>
                </c:pt>
                <c:pt idx="81">
                  <c:v>383.9</c:v>
                </c:pt>
                <c:pt idx="82">
                  <c:v>383.8</c:v>
                </c:pt>
                <c:pt idx="83">
                  <c:v>383.7</c:v>
                </c:pt>
                <c:pt idx="84">
                  <c:v>383.6</c:v>
                </c:pt>
                <c:pt idx="85">
                  <c:v>383.5</c:v>
                </c:pt>
                <c:pt idx="86">
                  <c:v>383.4</c:v>
                </c:pt>
                <c:pt idx="87">
                  <c:v>383.3</c:v>
                </c:pt>
                <c:pt idx="88">
                  <c:v>383.2</c:v>
                </c:pt>
                <c:pt idx="89">
                  <c:v>383.1</c:v>
                </c:pt>
                <c:pt idx="90">
                  <c:v>383</c:v>
                </c:pt>
                <c:pt idx="91">
                  <c:v>382.9</c:v>
                </c:pt>
                <c:pt idx="92">
                  <c:v>382.8</c:v>
                </c:pt>
                <c:pt idx="93">
                  <c:v>382.7</c:v>
                </c:pt>
                <c:pt idx="94">
                  <c:v>382.6</c:v>
                </c:pt>
                <c:pt idx="95">
                  <c:v>382.5</c:v>
                </c:pt>
                <c:pt idx="96">
                  <c:v>382.4</c:v>
                </c:pt>
                <c:pt idx="97">
                  <c:v>382.3</c:v>
                </c:pt>
                <c:pt idx="98">
                  <c:v>382.2</c:v>
                </c:pt>
                <c:pt idx="99">
                  <c:v>382.1</c:v>
                </c:pt>
                <c:pt idx="100">
                  <c:v>382</c:v>
                </c:pt>
                <c:pt idx="101">
                  <c:v>381.9</c:v>
                </c:pt>
                <c:pt idx="102">
                  <c:v>381.8</c:v>
                </c:pt>
                <c:pt idx="103">
                  <c:v>381.7</c:v>
                </c:pt>
                <c:pt idx="104">
                  <c:v>381.6</c:v>
                </c:pt>
                <c:pt idx="105">
                  <c:v>381.5</c:v>
                </c:pt>
                <c:pt idx="106">
                  <c:v>381.4</c:v>
                </c:pt>
                <c:pt idx="107">
                  <c:v>381.3</c:v>
                </c:pt>
                <c:pt idx="108">
                  <c:v>381.2</c:v>
                </c:pt>
                <c:pt idx="109">
                  <c:v>381.1</c:v>
                </c:pt>
                <c:pt idx="110">
                  <c:v>381</c:v>
                </c:pt>
                <c:pt idx="111">
                  <c:v>380.9</c:v>
                </c:pt>
                <c:pt idx="112">
                  <c:v>380.8</c:v>
                </c:pt>
                <c:pt idx="113">
                  <c:v>380.7</c:v>
                </c:pt>
                <c:pt idx="114">
                  <c:v>380.6</c:v>
                </c:pt>
                <c:pt idx="115">
                  <c:v>380.5</c:v>
                </c:pt>
                <c:pt idx="116">
                  <c:v>380.4</c:v>
                </c:pt>
                <c:pt idx="117">
                  <c:v>380.3</c:v>
                </c:pt>
                <c:pt idx="118">
                  <c:v>380.2</c:v>
                </c:pt>
                <c:pt idx="119">
                  <c:v>380.1</c:v>
                </c:pt>
                <c:pt idx="120">
                  <c:v>380</c:v>
                </c:pt>
              </c:numCache>
            </c:numRef>
          </c:xVal>
          <c:yVal>
            <c:numRef>
              <c:f>'Registro Tratado'!$AF$2885:$AF$3005</c:f>
              <c:numCache>
                <c:formatCode>0.0000</c:formatCode>
                <c:ptCount val="121"/>
                <c:pt idx="0">
                  <c:v>6.2286569044188493E-2</c:v>
                </c:pt>
                <c:pt idx="1">
                  <c:v>6.3008996988032639E-2</c:v>
                </c:pt>
                <c:pt idx="2">
                  <c:v>6.364210873380674E-2</c:v>
                </c:pt>
                <c:pt idx="3">
                  <c:v>6.4235860985537269E-2</c:v>
                </c:pt>
                <c:pt idx="4">
                  <c:v>6.4558235962260041E-2</c:v>
                </c:pt>
                <c:pt idx="5">
                  <c:v>6.4976672732450946E-2</c:v>
                </c:pt>
                <c:pt idx="6">
                  <c:v>6.5425806324143701E-2</c:v>
                </c:pt>
                <c:pt idx="7">
                  <c:v>6.600178038349562E-2</c:v>
                </c:pt>
                <c:pt idx="8">
                  <c:v>6.6371007469061147E-2</c:v>
                </c:pt>
                <c:pt idx="9">
                  <c:v>6.6593707019470968E-2</c:v>
                </c:pt>
                <c:pt idx="10">
                  <c:v>6.6902638602592296E-2</c:v>
                </c:pt>
                <c:pt idx="11">
                  <c:v>6.6532959452256416E-2</c:v>
                </c:pt>
                <c:pt idx="12">
                  <c:v>6.6563332173719458E-2</c:v>
                </c:pt>
                <c:pt idx="13">
                  <c:v>6.6755742085954056E-2</c:v>
                </c:pt>
                <c:pt idx="14">
                  <c:v>6.6527897538519759E-2</c:v>
                </c:pt>
                <c:pt idx="15">
                  <c:v>6.641655036046866E-2</c:v>
                </c:pt>
                <c:pt idx="16">
                  <c:v>6.6315350420152838E-2</c:v>
                </c:pt>
                <c:pt idx="17">
                  <c:v>6.592089582273318E-2</c:v>
                </c:pt>
                <c:pt idx="18">
                  <c:v>6.5915841037830089E-2</c:v>
                </c:pt>
                <c:pt idx="19">
                  <c:v>6.5067471277113653E-2</c:v>
                </c:pt>
                <c:pt idx="20">
                  <c:v>6.4694309710074865E-2</c:v>
                </c:pt>
                <c:pt idx="21">
                  <c:v>6.4261037915108496E-2</c:v>
                </c:pt>
                <c:pt idx="22">
                  <c:v>6.3486257521106662E-2</c:v>
                </c:pt>
                <c:pt idx="23">
                  <c:v>6.339578892752816E-2</c:v>
                </c:pt>
                <c:pt idx="24">
                  <c:v>6.2687769531758974E-2</c:v>
                </c:pt>
                <c:pt idx="25">
                  <c:v>6.2015968084394517E-2</c:v>
                </c:pt>
                <c:pt idx="26">
                  <c:v>6.2096128570409137E-2</c:v>
                </c:pt>
                <c:pt idx="27">
                  <c:v>6.1785589069725762E-2</c:v>
                </c:pt>
                <c:pt idx="28">
                  <c:v>6.1955857428087534E-2</c:v>
                </c:pt>
                <c:pt idx="29">
                  <c:v>6.2196349988903089E-2</c:v>
                </c:pt>
                <c:pt idx="30">
                  <c:v>6.2356752380136854E-2</c:v>
                </c:pt>
                <c:pt idx="31">
                  <c:v>6.2597467102426876E-2</c:v>
                </c:pt>
                <c:pt idx="32">
                  <c:v>6.3149608747835609E-2</c:v>
                </c:pt>
                <c:pt idx="33">
                  <c:v>6.3792985758474224E-2</c:v>
                </c:pt>
                <c:pt idx="34">
                  <c:v>6.4759841908713908E-2</c:v>
                </c:pt>
                <c:pt idx="35">
                  <c:v>6.5784437276491053E-2</c:v>
                </c:pt>
                <c:pt idx="36">
                  <c:v>6.6846913385103457E-2</c:v>
                </c:pt>
                <c:pt idx="37">
                  <c:v>6.8181214820066255E-2</c:v>
                </c:pt>
                <c:pt idx="38">
                  <c:v>6.9448277941577638E-2</c:v>
                </c:pt>
                <c:pt idx="39">
                  <c:v>7.0974672296517702E-2</c:v>
                </c:pt>
                <c:pt idx="40">
                  <c:v>7.2968580488126655E-2</c:v>
                </c:pt>
                <c:pt idx="41">
                  <c:v>7.5116224652844968E-2</c:v>
                </c:pt>
                <c:pt idx="42">
                  <c:v>7.6921853416771185E-2</c:v>
                </c:pt>
                <c:pt idx="43">
                  <c:v>7.8776672092682409E-2</c:v>
                </c:pt>
                <c:pt idx="44">
                  <c:v>8.0911442822732771E-2</c:v>
                </c:pt>
                <c:pt idx="45">
                  <c:v>8.3367106352778345E-2</c:v>
                </c:pt>
                <c:pt idx="46">
                  <c:v>8.5144032912766315E-2</c:v>
                </c:pt>
                <c:pt idx="47">
                  <c:v>8.7857686617161868E-2</c:v>
                </c:pt>
                <c:pt idx="48">
                  <c:v>8.9909454405931857E-2</c:v>
                </c:pt>
                <c:pt idx="49">
                  <c:v>9.2169596780349264E-2</c:v>
                </c:pt>
                <c:pt idx="50">
                  <c:v>9.3988374728587176E-2</c:v>
                </c:pt>
                <c:pt idx="51">
                  <c:v>9.6259059378461367E-2</c:v>
                </c:pt>
                <c:pt idx="52">
                  <c:v>9.8029763597359446E-2</c:v>
                </c:pt>
                <c:pt idx="53">
                  <c:v>9.9966231496756361E-2</c:v>
                </c:pt>
                <c:pt idx="54">
                  <c:v>0.10180704546895668</c:v>
                </c:pt>
                <c:pt idx="55">
                  <c:v>0.10338560984099084</c:v>
                </c:pt>
                <c:pt idx="56">
                  <c:v>0.10487039761734152</c:v>
                </c:pt>
                <c:pt idx="57">
                  <c:v>0.10601643278815294</c:v>
                </c:pt>
                <c:pt idx="58">
                  <c:v>0.10694877664653492</c:v>
                </c:pt>
                <c:pt idx="59">
                  <c:v>0.10782188716948662</c:v>
                </c:pt>
                <c:pt idx="60">
                  <c:v>0.10838449898392329</c:v>
                </c:pt>
                <c:pt idx="61">
                  <c:v>0.10878043509402868</c:v>
                </c:pt>
                <c:pt idx="62">
                  <c:v>0.10875254045130357</c:v>
                </c:pt>
                <c:pt idx="63">
                  <c:v>0.10818388047513947</c:v>
                </c:pt>
                <c:pt idx="64">
                  <c:v>0.10719329305995173</c:v>
                </c:pt>
                <c:pt idx="65">
                  <c:v>0.10572825534018326</c:v>
                </c:pt>
                <c:pt idx="66">
                  <c:v>0.10494228190987379</c:v>
                </c:pt>
                <c:pt idx="67">
                  <c:v>0.10339112010841167</c:v>
                </c:pt>
                <c:pt idx="68">
                  <c:v>0.10165883427249074</c:v>
                </c:pt>
                <c:pt idx="69">
                  <c:v>9.927247455916953E-2</c:v>
                </c:pt>
                <c:pt idx="70">
                  <c:v>9.668206823532581E-2</c:v>
                </c:pt>
                <c:pt idx="71">
                  <c:v>9.43983817231481E-2</c:v>
                </c:pt>
                <c:pt idx="72">
                  <c:v>9.1740229255419914E-2</c:v>
                </c:pt>
                <c:pt idx="73">
                  <c:v>8.9242232763089319E-2</c:v>
                </c:pt>
                <c:pt idx="74">
                  <c:v>8.6869904958803312E-2</c:v>
                </c:pt>
                <c:pt idx="75">
                  <c:v>8.4710995260262725E-2</c:v>
                </c:pt>
                <c:pt idx="76">
                  <c:v>8.2436728396465445E-2</c:v>
                </c:pt>
                <c:pt idx="77">
                  <c:v>8.0247443810556943E-2</c:v>
                </c:pt>
                <c:pt idx="78">
                  <c:v>7.8573658984734479E-2</c:v>
                </c:pt>
                <c:pt idx="79">
                  <c:v>7.7082602398505576E-2</c:v>
                </c:pt>
                <c:pt idx="80">
                  <c:v>7.5834472628619504E-2</c:v>
                </c:pt>
                <c:pt idx="81">
                  <c:v>7.516269396883081E-2</c:v>
                </c:pt>
                <c:pt idx="82">
                  <c:v>7.4765283768287435E-2</c:v>
                </c:pt>
                <c:pt idx="83">
                  <c:v>7.4038499923441678E-2</c:v>
                </c:pt>
                <c:pt idx="84">
                  <c:v>7.3729598718871053E-2</c:v>
                </c:pt>
                <c:pt idx="85">
                  <c:v>7.3863428932551212E-2</c:v>
                </c:pt>
                <c:pt idx="86">
                  <c:v>7.4450710268701675E-2</c:v>
                </c:pt>
                <c:pt idx="87">
                  <c:v>7.5007815581289022E-2</c:v>
                </c:pt>
                <c:pt idx="88">
                  <c:v>7.6636799954924117E-2</c:v>
                </c:pt>
                <c:pt idx="89">
                  <c:v>7.801716116222393E-2</c:v>
                </c:pt>
                <c:pt idx="90">
                  <c:v>7.9459283497520267E-2</c:v>
                </c:pt>
                <c:pt idx="91">
                  <c:v>8.1183609639620485E-2</c:v>
                </c:pt>
                <c:pt idx="92">
                  <c:v>8.2851735583720429E-2</c:v>
                </c:pt>
                <c:pt idx="93">
                  <c:v>8.5313140414457617E-2</c:v>
                </c:pt>
                <c:pt idx="94">
                  <c:v>8.7533489070474688E-2</c:v>
                </c:pt>
                <c:pt idx="95">
                  <c:v>8.956237122483926E-2</c:v>
                </c:pt>
                <c:pt idx="96">
                  <c:v>9.1944125901232909E-2</c:v>
                </c:pt>
                <c:pt idx="97">
                  <c:v>9.4004551879215317E-2</c:v>
                </c:pt>
                <c:pt idx="98">
                  <c:v>9.5831046892762908E-2</c:v>
                </c:pt>
                <c:pt idx="99">
                  <c:v>9.758912883354344E-2</c:v>
                </c:pt>
                <c:pt idx="100">
                  <c:v>9.9250641938920484E-2</c:v>
                </c:pt>
                <c:pt idx="101">
                  <c:v>0.10060634416399224</c:v>
                </c:pt>
                <c:pt idx="102">
                  <c:v>0.1012912692706347</c:v>
                </c:pt>
                <c:pt idx="103">
                  <c:v>0.101318688755703</c:v>
                </c:pt>
                <c:pt idx="104">
                  <c:v>0.10081444714405721</c:v>
                </c:pt>
                <c:pt idx="105">
                  <c:v>0.10010839724387081</c:v>
                </c:pt>
                <c:pt idx="106">
                  <c:v>9.884693631033234E-2</c:v>
                </c:pt>
                <c:pt idx="107">
                  <c:v>9.7192396205778284E-2</c:v>
                </c:pt>
                <c:pt idx="108">
                  <c:v>9.5241189680248875E-2</c:v>
                </c:pt>
                <c:pt idx="109">
                  <c:v>9.2776802591296212E-2</c:v>
                </c:pt>
                <c:pt idx="110">
                  <c:v>9.0016305060155982E-2</c:v>
                </c:pt>
                <c:pt idx="111">
                  <c:v>8.7193607338707652E-2</c:v>
                </c:pt>
                <c:pt idx="112">
                  <c:v>8.4557951093888264E-2</c:v>
                </c:pt>
                <c:pt idx="113">
                  <c:v>8.1765152380024061E-2</c:v>
                </c:pt>
                <c:pt idx="114">
                  <c:v>7.9063134011056038E-2</c:v>
                </c:pt>
                <c:pt idx="115">
                  <c:v>7.648657433869295E-2</c:v>
                </c:pt>
                <c:pt idx="116">
                  <c:v>7.397155268156072E-2</c:v>
                </c:pt>
                <c:pt idx="117">
                  <c:v>7.1317444156382775E-2</c:v>
                </c:pt>
                <c:pt idx="118">
                  <c:v>6.9280141265289183E-2</c:v>
                </c:pt>
                <c:pt idx="119">
                  <c:v>6.7161094441219621E-2</c:v>
                </c:pt>
                <c:pt idx="120">
                  <c:v>6.5622764131058317E-2</c:v>
                </c:pt>
              </c:numCache>
            </c:numRef>
          </c:yVal>
          <c:smooth val="1"/>
          <c:extLst>
            <c:ext xmlns:c16="http://schemas.microsoft.com/office/drawing/2014/chart" uri="{C3380CC4-5D6E-409C-BE32-E72D297353CC}">
              <c16:uniqueId val="{00000000-250C-4199-BD74-752A39008D41}"/>
            </c:ext>
          </c:extLst>
        </c:ser>
        <c:ser>
          <c:idx val="1"/>
          <c:order val="1"/>
          <c:tx>
            <c:v>Pico 6 - CAL1</c:v>
          </c:tx>
          <c:spPr>
            <a:ln>
              <a:solidFill>
                <a:srgbClr val="FF0000"/>
              </a:solidFill>
            </a:ln>
          </c:spPr>
          <c:marker>
            <c:symbol val="none"/>
          </c:marker>
          <c:trendline>
            <c:trendlineType val="poly"/>
            <c:order val="6"/>
            <c:dispRSqr val="1"/>
            <c:dispEq val="1"/>
            <c:trendlineLbl>
              <c:layout>
                <c:manualLayout>
                  <c:x val="0.10732714138286892"/>
                  <c:y val="-0.19855318881952505"/>
                </c:manualLayout>
              </c:layout>
              <c:numFmt formatCode="0.000000000000000E+00" sourceLinked="0"/>
            </c:trendlineLbl>
          </c:trendline>
          <c:xVal>
            <c:numRef>
              <c:f>'Registro Tratado'!$B$212:$B$217</c:f>
              <c:numCache>
                <c:formatCode>0.0</c:formatCode>
                <c:ptCount val="6"/>
                <c:pt idx="0">
                  <c:v>388</c:v>
                </c:pt>
                <c:pt idx="1">
                  <c:v>387</c:v>
                </c:pt>
                <c:pt idx="2">
                  <c:v>386</c:v>
                </c:pt>
                <c:pt idx="3">
                  <c:v>385</c:v>
                </c:pt>
                <c:pt idx="4">
                  <c:v>384</c:v>
                </c:pt>
                <c:pt idx="5">
                  <c:v>383</c:v>
                </c:pt>
              </c:numCache>
            </c:numRef>
          </c:xVal>
          <c:yVal>
            <c:numRef>
              <c:f>'Registro Tratado'!$C$212:$C$217</c:f>
              <c:numCache>
                <c:formatCode>0.000</c:formatCode>
                <c:ptCount val="6"/>
                <c:pt idx="0">
                  <c:v>7.2999999999999995E-2</c:v>
                </c:pt>
                <c:pt idx="1">
                  <c:v>7.8E-2</c:v>
                </c:pt>
                <c:pt idx="2">
                  <c:v>0.08</c:v>
                </c:pt>
                <c:pt idx="3">
                  <c:v>0.08</c:v>
                </c:pt>
                <c:pt idx="4">
                  <c:v>7.9000000000000001E-2</c:v>
                </c:pt>
                <c:pt idx="5">
                  <c:v>7.5999999999999998E-2</c:v>
                </c:pt>
              </c:numCache>
            </c:numRef>
          </c:yVal>
          <c:smooth val="1"/>
          <c:extLst>
            <c:ext xmlns:c16="http://schemas.microsoft.com/office/drawing/2014/chart" uri="{C3380CC4-5D6E-409C-BE32-E72D297353CC}">
              <c16:uniqueId val="{00000001-250C-4199-BD74-752A39008D41}"/>
            </c:ext>
          </c:extLst>
        </c:ser>
        <c:ser>
          <c:idx val="2"/>
          <c:order val="2"/>
          <c:tx>
            <c:v>Pico 6 - Largura de banda</c:v>
          </c:tx>
          <c:spPr>
            <a:ln w="15875">
              <a:solidFill>
                <a:srgbClr val="FFC000"/>
              </a:solidFill>
            </a:ln>
          </c:spPr>
          <c:marker>
            <c:symbol val="none"/>
          </c:marker>
          <c:xVal>
            <c:numRef>
              <c:f>'Registro Tratado'!$AH$204:$CP$204</c:f>
              <c:numCache>
                <c:formatCode>0.0</c:formatCode>
                <c:ptCount val="61"/>
                <c:pt idx="0">
                  <c:v>380</c:v>
                </c:pt>
                <c:pt idx="1">
                  <c:v>380.2</c:v>
                </c:pt>
                <c:pt idx="2">
                  <c:v>380.4</c:v>
                </c:pt>
                <c:pt idx="3">
                  <c:v>380.59999999999997</c:v>
                </c:pt>
                <c:pt idx="4">
                  <c:v>380.79999999999995</c:v>
                </c:pt>
                <c:pt idx="5">
                  <c:v>380.99999999999994</c:v>
                </c:pt>
                <c:pt idx="6">
                  <c:v>381.19999999999993</c:v>
                </c:pt>
                <c:pt idx="7">
                  <c:v>381.39999999999992</c:v>
                </c:pt>
                <c:pt idx="8">
                  <c:v>381.59999999999991</c:v>
                </c:pt>
                <c:pt idx="9">
                  <c:v>381.7999999999999</c:v>
                </c:pt>
                <c:pt idx="10">
                  <c:v>381.99999999999989</c:v>
                </c:pt>
                <c:pt idx="11">
                  <c:v>382.19999999999987</c:v>
                </c:pt>
                <c:pt idx="12">
                  <c:v>382.39999999999986</c:v>
                </c:pt>
                <c:pt idx="13">
                  <c:v>382.59999999999985</c:v>
                </c:pt>
                <c:pt idx="14">
                  <c:v>382.79999999999984</c:v>
                </c:pt>
                <c:pt idx="15">
                  <c:v>382.99999999999983</c:v>
                </c:pt>
                <c:pt idx="16">
                  <c:v>383.19999999999982</c:v>
                </c:pt>
                <c:pt idx="17">
                  <c:v>383.39999999999981</c:v>
                </c:pt>
                <c:pt idx="18">
                  <c:v>383.5999999999998</c:v>
                </c:pt>
                <c:pt idx="19">
                  <c:v>383.79999999999978</c:v>
                </c:pt>
                <c:pt idx="20">
                  <c:v>383.99999999999977</c:v>
                </c:pt>
                <c:pt idx="21">
                  <c:v>384.19999999999976</c:v>
                </c:pt>
                <c:pt idx="22">
                  <c:v>384.39999999999975</c:v>
                </c:pt>
                <c:pt idx="23">
                  <c:v>384.59999999999974</c:v>
                </c:pt>
                <c:pt idx="24">
                  <c:v>384.79999999999973</c:v>
                </c:pt>
                <c:pt idx="25">
                  <c:v>384.99999999999972</c:v>
                </c:pt>
                <c:pt idx="26">
                  <c:v>385.1999999999997</c:v>
                </c:pt>
                <c:pt idx="27">
                  <c:v>385.39999999999969</c:v>
                </c:pt>
                <c:pt idx="28">
                  <c:v>385.59999999999968</c:v>
                </c:pt>
                <c:pt idx="29">
                  <c:v>385.79999999999967</c:v>
                </c:pt>
                <c:pt idx="30">
                  <c:v>385.99999999999966</c:v>
                </c:pt>
                <c:pt idx="31">
                  <c:v>386.19999999999965</c:v>
                </c:pt>
                <c:pt idx="32">
                  <c:v>386.39999999999964</c:v>
                </c:pt>
                <c:pt idx="33">
                  <c:v>386.59999999999962</c:v>
                </c:pt>
                <c:pt idx="34">
                  <c:v>386.79999999999961</c:v>
                </c:pt>
                <c:pt idx="35">
                  <c:v>386.9999999999996</c:v>
                </c:pt>
                <c:pt idx="36">
                  <c:v>387.19999999999959</c:v>
                </c:pt>
                <c:pt idx="37">
                  <c:v>387.39999999999958</c:v>
                </c:pt>
                <c:pt idx="38">
                  <c:v>387.59999999999957</c:v>
                </c:pt>
                <c:pt idx="39">
                  <c:v>387.79999999999956</c:v>
                </c:pt>
                <c:pt idx="40">
                  <c:v>387.99999999999955</c:v>
                </c:pt>
                <c:pt idx="41">
                  <c:v>388.19999999999953</c:v>
                </c:pt>
                <c:pt idx="42">
                  <c:v>388.39999999999952</c:v>
                </c:pt>
                <c:pt idx="43">
                  <c:v>388.59999999999951</c:v>
                </c:pt>
                <c:pt idx="44">
                  <c:v>388.7999999999995</c:v>
                </c:pt>
                <c:pt idx="45">
                  <c:v>388.99999999999949</c:v>
                </c:pt>
                <c:pt idx="46">
                  <c:v>389.19999999999948</c:v>
                </c:pt>
                <c:pt idx="47">
                  <c:v>389.39999999999947</c:v>
                </c:pt>
                <c:pt idx="48">
                  <c:v>389.59999999999945</c:v>
                </c:pt>
                <c:pt idx="49">
                  <c:v>389.79999999999944</c:v>
                </c:pt>
                <c:pt idx="50">
                  <c:v>389.99999999999943</c:v>
                </c:pt>
                <c:pt idx="51">
                  <c:v>390.19999999999942</c:v>
                </c:pt>
                <c:pt idx="52">
                  <c:v>390.39999999999941</c:v>
                </c:pt>
                <c:pt idx="53">
                  <c:v>390.5999999999994</c:v>
                </c:pt>
                <c:pt idx="54">
                  <c:v>390.79999999999939</c:v>
                </c:pt>
                <c:pt idx="55">
                  <c:v>390.99999999999937</c:v>
                </c:pt>
                <c:pt idx="56">
                  <c:v>391.19999999999936</c:v>
                </c:pt>
                <c:pt idx="57">
                  <c:v>391.39999999999935</c:v>
                </c:pt>
                <c:pt idx="58">
                  <c:v>391.59999999999934</c:v>
                </c:pt>
                <c:pt idx="59">
                  <c:v>391.79999999999933</c:v>
                </c:pt>
                <c:pt idx="60">
                  <c:v>391.99999999999932</c:v>
                </c:pt>
              </c:numCache>
            </c:numRef>
          </c:xVal>
          <c:yVal>
            <c:numRef>
              <c:f>'Registro Tratado'!$AH$205:$CP$205</c:f>
              <c:numCache>
                <c:formatCode>General</c:formatCode>
                <c:ptCount val="61"/>
                <c:pt idx="0">
                  <c:v>9.1200000000000003E-2</c:v>
                </c:pt>
                <c:pt idx="1">
                  <c:v>9.1200000000000003E-2</c:v>
                </c:pt>
                <c:pt idx="2">
                  <c:v>9.1200000000000003E-2</c:v>
                </c:pt>
                <c:pt idx="3">
                  <c:v>9.1200000000000003E-2</c:v>
                </c:pt>
                <c:pt idx="4">
                  <c:v>9.1200000000000003E-2</c:v>
                </c:pt>
                <c:pt idx="5">
                  <c:v>9.1200000000000003E-2</c:v>
                </c:pt>
                <c:pt idx="6">
                  <c:v>9.1200000000000003E-2</c:v>
                </c:pt>
                <c:pt idx="7">
                  <c:v>9.1200000000000003E-2</c:v>
                </c:pt>
                <c:pt idx="8">
                  <c:v>9.1200000000000003E-2</c:v>
                </c:pt>
                <c:pt idx="9">
                  <c:v>9.1200000000000003E-2</c:v>
                </c:pt>
                <c:pt idx="10">
                  <c:v>9.1200000000000003E-2</c:v>
                </c:pt>
                <c:pt idx="11">
                  <c:v>9.1200000000000003E-2</c:v>
                </c:pt>
                <c:pt idx="12">
                  <c:v>9.1200000000000003E-2</c:v>
                </c:pt>
                <c:pt idx="13">
                  <c:v>9.1200000000000003E-2</c:v>
                </c:pt>
                <c:pt idx="14">
                  <c:v>9.1200000000000003E-2</c:v>
                </c:pt>
                <c:pt idx="15">
                  <c:v>9.1200000000000003E-2</c:v>
                </c:pt>
                <c:pt idx="16">
                  <c:v>9.1200000000000003E-2</c:v>
                </c:pt>
                <c:pt idx="17">
                  <c:v>9.1200000000000003E-2</c:v>
                </c:pt>
                <c:pt idx="18">
                  <c:v>9.1200000000000003E-2</c:v>
                </c:pt>
                <c:pt idx="19">
                  <c:v>9.1200000000000003E-2</c:v>
                </c:pt>
                <c:pt idx="20">
                  <c:v>9.1200000000000003E-2</c:v>
                </c:pt>
                <c:pt idx="21">
                  <c:v>9.1200000000000003E-2</c:v>
                </c:pt>
                <c:pt idx="22">
                  <c:v>9.1200000000000003E-2</c:v>
                </c:pt>
                <c:pt idx="23">
                  <c:v>9.1200000000000003E-2</c:v>
                </c:pt>
                <c:pt idx="24">
                  <c:v>9.1200000000000003E-2</c:v>
                </c:pt>
                <c:pt idx="25">
                  <c:v>9.1200000000000003E-2</c:v>
                </c:pt>
                <c:pt idx="26">
                  <c:v>9.1200000000000003E-2</c:v>
                </c:pt>
                <c:pt idx="27">
                  <c:v>9.1200000000000003E-2</c:v>
                </c:pt>
                <c:pt idx="28">
                  <c:v>9.1200000000000003E-2</c:v>
                </c:pt>
                <c:pt idx="29">
                  <c:v>9.1200000000000003E-2</c:v>
                </c:pt>
                <c:pt idx="30">
                  <c:v>9.1200000000000003E-2</c:v>
                </c:pt>
                <c:pt idx="31">
                  <c:v>9.1200000000000003E-2</c:v>
                </c:pt>
                <c:pt idx="32">
                  <c:v>9.1200000000000003E-2</c:v>
                </c:pt>
                <c:pt idx="33">
                  <c:v>9.1200000000000003E-2</c:v>
                </c:pt>
                <c:pt idx="34">
                  <c:v>9.1200000000000003E-2</c:v>
                </c:pt>
                <c:pt idx="35">
                  <c:v>9.1200000000000003E-2</c:v>
                </c:pt>
                <c:pt idx="36">
                  <c:v>9.1200000000000003E-2</c:v>
                </c:pt>
                <c:pt idx="37">
                  <c:v>9.1200000000000003E-2</c:v>
                </c:pt>
                <c:pt idx="38">
                  <c:v>9.1200000000000003E-2</c:v>
                </c:pt>
                <c:pt idx="39">
                  <c:v>9.1200000000000003E-2</c:v>
                </c:pt>
                <c:pt idx="40">
                  <c:v>9.1200000000000003E-2</c:v>
                </c:pt>
                <c:pt idx="41">
                  <c:v>9.1200000000000003E-2</c:v>
                </c:pt>
                <c:pt idx="42">
                  <c:v>9.1200000000000003E-2</c:v>
                </c:pt>
                <c:pt idx="43">
                  <c:v>9.1200000000000003E-2</c:v>
                </c:pt>
                <c:pt idx="44">
                  <c:v>9.1200000000000003E-2</c:v>
                </c:pt>
                <c:pt idx="45">
                  <c:v>9.1200000000000003E-2</c:v>
                </c:pt>
                <c:pt idx="46">
                  <c:v>9.1200000000000003E-2</c:v>
                </c:pt>
                <c:pt idx="47">
                  <c:v>9.1200000000000003E-2</c:v>
                </c:pt>
                <c:pt idx="48">
                  <c:v>9.1200000000000003E-2</c:v>
                </c:pt>
                <c:pt idx="49">
                  <c:v>9.1200000000000003E-2</c:v>
                </c:pt>
                <c:pt idx="50">
                  <c:v>9.1200000000000003E-2</c:v>
                </c:pt>
                <c:pt idx="51">
                  <c:v>9.1200000000000003E-2</c:v>
                </c:pt>
                <c:pt idx="52">
                  <c:v>9.1200000000000003E-2</c:v>
                </c:pt>
                <c:pt idx="53">
                  <c:v>9.1200000000000003E-2</c:v>
                </c:pt>
                <c:pt idx="54">
                  <c:v>9.1200000000000003E-2</c:v>
                </c:pt>
                <c:pt idx="55">
                  <c:v>9.1200000000000003E-2</c:v>
                </c:pt>
                <c:pt idx="56">
                  <c:v>9.1200000000000003E-2</c:v>
                </c:pt>
                <c:pt idx="57">
                  <c:v>9.1200000000000003E-2</c:v>
                </c:pt>
                <c:pt idx="58">
                  <c:v>9.1200000000000003E-2</c:v>
                </c:pt>
                <c:pt idx="59">
                  <c:v>9.1200000000000003E-2</c:v>
                </c:pt>
                <c:pt idx="60">
                  <c:v>9.1200000000000003E-2</c:v>
                </c:pt>
              </c:numCache>
            </c:numRef>
          </c:yVal>
          <c:smooth val="1"/>
          <c:extLst>
            <c:ext xmlns:c16="http://schemas.microsoft.com/office/drawing/2014/chart" uri="{C3380CC4-5D6E-409C-BE32-E72D297353CC}">
              <c16:uniqueId val="{00000002-250C-4199-BD74-752A39008D41}"/>
            </c:ext>
          </c:extLst>
        </c:ser>
        <c:ser>
          <c:idx val="3"/>
          <c:order val="3"/>
          <c:tx>
            <c:v>Pico 6 - CAL2</c:v>
          </c:tx>
          <c:spPr>
            <a:ln>
              <a:solidFill>
                <a:srgbClr val="00B050"/>
              </a:solidFill>
            </a:ln>
          </c:spPr>
          <c:marker>
            <c:symbol val="none"/>
          </c:marker>
          <c:trendline>
            <c:trendlineType val="poly"/>
            <c:order val="6"/>
            <c:dispRSqr val="1"/>
            <c:dispEq val="1"/>
            <c:trendlineLbl>
              <c:layout>
                <c:manualLayout>
                  <c:x val="0.11007911936704506"/>
                  <c:y val="0.16071650406249019"/>
                </c:manualLayout>
              </c:layout>
              <c:numFmt formatCode="0.000000000000000E+00" sourceLinked="0"/>
            </c:trendlineLbl>
          </c:trendline>
          <c:xVal>
            <c:numRef>
              <c:f>'Registro Tratado'!$E$212:$E$217</c:f>
              <c:numCache>
                <c:formatCode>0.0</c:formatCode>
                <c:ptCount val="6"/>
                <c:pt idx="0">
                  <c:v>387.5</c:v>
                </c:pt>
                <c:pt idx="1">
                  <c:v>386.5</c:v>
                </c:pt>
                <c:pt idx="2">
                  <c:v>386</c:v>
                </c:pt>
                <c:pt idx="3">
                  <c:v>385.5</c:v>
                </c:pt>
                <c:pt idx="4">
                  <c:v>385</c:v>
                </c:pt>
                <c:pt idx="5">
                  <c:v>384.5</c:v>
                </c:pt>
              </c:numCache>
            </c:numRef>
          </c:xVal>
          <c:yVal>
            <c:numRef>
              <c:f>'Registro Tratado'!$F$212:$F$217</c:f>
              <c:numCache>
                <c:formatCode>0.000</c:formatCode>
                <c:ptCount val="6"/>
                <c:pt idx="0">
                  <c:v>7.4999999999999997E-2</c:v>
                </c:pt>
                <c:pt idx="1">
                  <c:v>7.9000000000000001E-2</c:v>
                </c:pt>
                <c:pt idx="2">
                  <c:v>8.1000000000000003E-2</c:v>
                </c:pt>
                <c:pt idx="3">
                  <c:v>0.08</c:v>
                </c:pt>
                <c:pt idx="4">
                  <c:v>7.9000000000000001E-2</c:v>
                </c:pt>
                <c:pt idx="5">
                  <c:v>7.4999999999999997E-2</c:v>
                </c:pt>
              </c:numCache>
            </c:numRef>
          </c:yVal>
          <c:smooth val="1"/>
          <c:extLst>
            <c:ext xmlns:c16="http://schemas.microsoft.com/office/drawing/2014/chart" uri="{C3380CC4-5D6E-409C-BE32-E72D297353CC}">
              <c16:uniqueId val="{00000003-250C-4199-BD74-752A39008D41}"/>
            </c:ext>
          </c:extLst>
        </c:ser>
        <c:dLbls>
          <c:showLegendKey val="0"/>
          <c:showVal val="0"/>
          <c:showCatName val="0"/>
          <c:showSerName val="0"/>
          <c:showPercent val="0"/>
          <c:showBubbleSize val="0"/>
        </c:dLbls>
        <c:axId val="79398784"/>
        <c:axId val="79417344"/>
      </c:scatterChart>
      <c:valAx>
        <c:axId val="79398784"/>
        <c:scaling>
          <c:orientation val="minMax"/>
          <c:max val="392"/>
          <c:min val="380"/>
        </c:scaling>
        <c:delete val="0"/>
        <c:axPos val="t"/>
        <c:title>
          <c:tx>
            <c:rich>
              <a:bodyPr/>
              <a:lstStyle/>
              <a:p>
                <a:pPr>
                  <a:defRPr sz="1000" b="1" i="0" u="none" strike="noStrike" baseline="0">
                    <a:solidFill>
                      <a:srgbClr val="000000"/>
                    </a:solidFill>
                    <a:latin typeface="Arial"/>
                    <a:ea typeface="Arial"/>
                    <a:cs typeface="Arial"/>
                  </a:defRPr>
                </a:pPr>
                <a:r>
                  <a:rPr lang="pt-BR"/>
                  <a:t>Comprimento</a:t>
                </a:r>
                <a:r>
                  <a:rPr lang="pt-BR" baseline="0"/>
                  <a:t> de Onda</a:t>
                </a:r>
                <a:r>
                  <a:rPr lang="pt-BR"/>
                  <a:t> [nm]</a:t>
                </a:r>
              </a:p>
            </c:rich>
          </c:tx>
          <c:layout>
            <c:manualLayout>
              <c:xMode val="edge"/>
              <c:yMode val="edge"/>
              <c:x val="0.43979123805746739"/>
              <c:y val="0.89920444207422279"/>
            </c:manualLayout>
          </c:layout>
          <c:overlay val="0"/>
          <c:spPr>
            <a:noFill/>
            <a:ln w="25400">
              <a:noFill/>
            </a:ln>
          </c:spPr>
        </c:title>
        <c:numFmt formatCode="0.0" sourceLinked="0"/>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pt-BR"/>
          </a:p>
        </c:txPr>
        <c:crossAx val="79417344"/>
        <c:crosses val="max"/>
        <c:crossBetween val="midCat"/>
        <c:majorUnit val="1"/>
        <c:minorUnit val="0.2"/>
      </c:valAx>
      <c:valAx>
        <c:axId val="79417344"/>
        <c:scaling>
          <c:orientation val="minMax"/>
          <c:max val="0.11000000000000001"/>
          <c:min val="6.0000000000000026E-2"/>
        </c:scaling>
        <c:delete val="0"/>
        <c:axPos val="l"/>
        <c:majorGridlines>
          <c:spPr>
            <a:ln w="3175">
              <a:solidFill>
                <a:schemeClr val="bg1">
                  <a:lumMod val="65000"/>
                </a:schemeClr>
              </a:solidFill>
              <a:prstDash val="solid"/>
            </a:ln>
          </c:spPr>
        </c:majorGridlines>
        <c:title>
          <c:tx>
            <c:rich>
              <a:bodyPr/>
              <a:lstStyle/>
              <a:p>
                <a:pPr>
                  <a:defRPr sz="1000" b="1" i="0" u="none" strike="noStrike" baseline="0">
                    <a:solidFill>
                      <a:srgbClr val="000000"/>
                    </a:solidFill>
                    <a:latin typeface="Arial"/>
                    <a:ea typeface="Arial"/>
                    <a:cs typeface="Arial"/>
                  </a:defRPr>
                </a:pPr>
                <a:r>
                  <a:rPr lang="pt-BR"/>
                  <a:t>Absorbância </a:t>
                </a:r>
              </a:p>
            </c:rich>
          </c:tx>
          <c:layout>
            <c:manualLayout>
              <c:xMode val="edge"/>
              <c:yMode val="edge"/>
              <c:x val="1.8593473297474759E-2"/>
              <c:y val="0.33554224048687142"/>
            </c:manualLayout>
          </c:layout>
          <c:overlay val="0"/>
          <c:spPr>
            <a:noFill/>
            <a:ln w="25400">
              <a:noFill/>
            </a:ln>
          </c:spPr>
        </c:title>
        <c:numFmt formatCode="0.00" sourceLinked="0"/>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pt-BR"/>
          </a:p>
        </c:txPr>
        <c:crossAx val="79398784"/>
        <c:crossesAt val="284"/>
        <c:crossBetween val="midCat"/>
        <c:majorUnit val="2.0000000000000011E-2"/>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pt-BR"/>
    </a:p>
  </c:txPr>
  <c:printSettings>
    <c:headerFooter alignWithMargins="0"/>
    <c:pageMargins b="0.98425196899999978" l="0.78740157499999996" r="0.78740157499999996" t="0.98425196899999978" header="0.5" footer="0.5"/>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BR" sz="1100" b="1"/>
              <a:t>Pico 3  -  287,6 nm</a:t>
            </a:r>
          </a:p>
        </c:rich>
      </c:tx>
      <c:layout>
        <c:manualLayout>
          <c:xMode val="edge"/>
          <c:yMode val="edge"/>
          <c:x val="0.54164327045688065"/>
          <c:y val="0.1408385163975715"/>
        </c:manualLayout>
      </c:layout>
      <c:overlay val="0"/>
    </c:title>
    <c:autoTitleDeleted val="0"/>
    <c:plotArea>
      <c:layout>
        <c:manualLayout>
          <c:layoutTarget val="inner"/>
          <c:xMode val="edge"/>
          <c:yMode val="edge"/>
          <c:x val="7.4030397363120337E-2"/>
          <c:y val="8.5098873026628372E-2"/>
          <c:w val="0.81675531869566498"/>
          <c:h val="0.74801061007957614"/>
        </c:manualLayout>
      </c:layout>
      <c:scatterChart>
        <c:scatterStyle val="smoothMarker"/>
        <c:varyColors val="0"/>
        <c:ser>
          <c:idx val="0"/>
          <c:order val="0"/>
          <c:tx>
            <c:v>Pico 3</c:v>
          </c:tx>
          <c:spPr>
            <a:ln w="12700">
              <a:solidFill>
                <a:srgbClr val="000080"/>
              </a:solidFill>
              <a:prstDash val="solid"/>
            </a:ln>
          </c:spPr>
          <c:marker>
            <c:symbol val="none"/>
          </c:marker>
          <c:xVal>
            <c:numRef>
              <c:f>'Registro Tratado'!$AD$3870:$AD$3990</c:f>
              <c:numCache>
                <c:formatCode>0.0</c:formatCode>
                <c:ptCount val="121"/>
                <c:pt idx="0">
                  <c:v>293.5</c:v>
                </c:pt>
                <c:pt idx="1">
                  <c:v>293.39999999999998</c:v>
                </c:pt>
                <c:pt idx="2">
                  <c:v>293.3</c:v>
                </c:pt>
                <c:pt idx="3">
                  <c:v>293.2</c:v>
                </c:pt>
                <c:pt idx="4">
                  <c:v>293.10000000000002</c:v>
                </c:pt>
                <c:pt idx="5">
                  <c:v>293</c:v>
                </c:pt>
                <c:pt idx="6">
                  <c:v>292.89999999999998</c:v>
                </c:pt>
                <c:pt idx="7">
                  <c:v>292.8</c:v>
                </c:pt>
                <c:pt idx="8">
                  <c:v>292.7</c:v>
                </c:pt>
                <c:pt idx="9">
                  <c:v>292.60000000000002</c:v>
                </c:pt>
                <c:pt idx="10">
                  <c:v>292.5</c:v>
                </c:pt>
                <c:pt idx="11">
                  <c:v>292.39999999999998</c:v>
                </c:pt>
                <c:pt idx="12">
                  <c:v>292.3</c:v>
                </c:pt>
                <c:pt idx="13">
                  <c:v>292.2</c:v>
                </c:pt>
                <c:pt idx="14">
                  <c:v>292.10000000000002</c:v>
                </c:pt>
                <c:pt idx="15">
                  <c:v>292</c:v>
                </c:pt>
                <c:pt idx="16">
                  <c:v>291.89999999999998</c:v>
                </c:pt>
                <c:pt idx="17">
                  <c:v>291.8</c:v>
                </c:pt>
                <c:pt idx="18">
                  <c:v>291.7</c:v>
                </c:pt>
                <c:pt idx="19">
                  <c:v>291.60000000000002</c:v>
                </c:pt>
                <c:pt idx="20">
                  <c:v>291.5</c:v>
                </c:pt>
                <c:pt idx="21">
                  <c:v>291.39999999999998</c:v>
                </c:pt>
                <c:pt idx="22">
                  <c:v>291.3</c:v>
                </c:pt>
                <c:pt idx="23">
                  <c:v>291.2</c:v>
                </c:pt>
                <c:pt idx="24">
                  <c:v>291.10000000000002</c:v>
                </c:pt>
                <c:pt idx="25">
                  <c:v>291</c:v>
                </c:pt>
                <c:pt idx="26">
                  <c:v>290.89999999999998</c:v>
                </c:pt>
                <c:pt idx="27">
                  <c:v>290.8</c:v>
                </c:pt>
                <c:pt idx="28">
                  <c:v>290.7</c:v>
                </c:pt>
                <c:pt idx="29">
                  <c:v>290.60000000000002</c:v>
                </c:pt>
                <c:pt idx="30">
                  <c:v>290.5</c:v>
                </c:pt>
                <c:pt idx="31">
                  <c:v>290.39999999999998</c:v>
                </c:pt>
                <c:pt idx="32">
                  <c:v>290.3</c:v>
                </c:pt>
                <c:pt idx="33">
                  <c:v>290.2</c:v>
                </c:pt>
                <c:pt idx="34">
                  <c:v>290.10000000000002</c:v>
                </c:pt>
                <c:pt idx="35">
                  <c:v>290</c:v>
                </c:pt>
                <c:pt idx="36">
                  <c:v>289.89999999999998</c:v>
                </c:pt>
                <c:pt idx="37">
                  <c:v>289.8</c:v>
                </c:pt>
                <c:pt idx="38">
                  <c:v>289.7</c:v>
                </c:pt>
                <c:pt idx="39">
                  <c:v>289.60000000000002</c:v>
                </c:pt>
                <c:pt idx="40">
                  <c:v>289.5</c:v>
                </c:pt>
                <c:pt idx="41">
                  <c:v>289.39999999999998</c:v>
                </c:pt>
                <c:pt idx="42">
                  <c:v>289.3</c:v>
                </c:pt>
                <c:pt idx="43">
                  <c:v>289.2</c:v>
                </c:pt>
                <c:pt idx="44">
                  <c:v>289.10000000000002</c:v>
                </c:pt>
                <c:pt idx="45">
                  <c:v>289</c:v>
                </c:pt>
                <c:pt idx="46">
                  <c:v>288.89999999999998</c:v>
                </c:pt>
                <c:pt idx="47">
                  <c:v>288.8</c:v>
                </c:pt>
                <c:pt idx="48">
                  <c:v>288.7</c:v>
                </c:pt>
                <c:pt idx="49">
                  <c:v>288.60000000000002</c:v>
                </c:pt>
                <c:pt idx="50">
                  <c:v>288.5</c:v>
                </c:pt>
                <c:pt idx="51">
                  <c:v>288.39999999999998</c:v>
                </c:pt>
                <c:pt idx="52">
                  <c:v>288.3</c:v>
                </c:pt>
                <c:pt idx="53">
                  <c:v>288.2</c:v>
                </c:pt>
                <c:pt idx="54">
                  <c:v>288.10000000000002</c:v>
                </c:pt>
                <c:pt idx="55">
                  <c:v>288</c:v>
                </c:pt>
                <c:pt idx="56">
                  <c:v>287.89999999999998</c:v>
                </c:pt>
                <c:pt idx="57">
                  <c:v>287.8</c:v>
                </c:pt>
                <c:pt idx="58">
                  <c:v>287.7</c:v>
                </c:pt>
                <c:pt idx="59">
                  <c:v>287.60000000000002</c:v>
                </c:pt>
                <c:pt idx="60">
                  <c:v>287.5</c:v>
                </c:pt>
                <c:pt idx="61">
                  <c:v>287.39999999999998</c:v>
                </c:pt>
                <c:pt idx="62">
                  <c:v>287.3</c:v>
                </c:pt>
                <c:pt idx="63">
                  <c:v>287.2</c:v>
                </c:pt>
                <c:pt idx="64">
                  <c:v>287.10000000000002</c:v>
                </c:pt>
                <c:pt idx="65">
                  <c:v>287</c:v>
                </c:pt>
                <c:pt idx="66">
                  <c:v>286.89999999999998</c:v>
                </c:pt>
                <c:pt idx="67">
                  <c:v>286.8</c:v>
                </c:pt>
                <c:pt idx="68">
                  <c:v>286.7</c:v>
                </c:pt>
                <c:pt idx="69">
                  <c:v>286.60000000000002</c:v>
                </c:pt>
                <c:pt idx="70">
                  <c:v>286.5</c:v>
                </c:pt>
                <c:pt idx="71">
                  <c:v>286.39999999999998</c:v>
                </c:pt>
                <c:pt idx="72">
                  <c:v>286.3</c:v>
                </c:pt>
                <c:pt idx="73">
                  <c:v>286.2</c:v>
                </c:pt>
                <c:pt idx="74">
                  <c:v>286.10000000000002</c:v>
                </c:pt>
                <c:pt idx="75">
                  <c:v>286</c:v>
                </c:pt>
                <c:pt idx="76">
                  <c:v>285.89999999999998</c:v>
                </c:pt>
                <c:pt idx="77">
                  <c:v>285.8</c:v>
                </c:pt>
                <c:pt idx="78">
                  <c:v>285.7</c:v>
                </c:pt>
                <c:pt idx="79">
                  <c:v>285.60000000000002</c:v>
                </c:pt>
                <c:pt idx="80">
                  <c:v>285.5</c:v>
                </c:pt>
                <c:pt idx="81">
                  <c:v>285.39999999999998</c:v>
                </c:pt>
                <c:pt idx="82">
                  <c:v>285.3</c:v>
                </c:pt>
                <c:pt idx="83">
                  <c:v>285.2</c:v>
                </c:pt>
                <c:pt idx="84">
                  <c:v>285.10000000000002</c:v>
                </c:pt>
                <c:pt idx="85">
                  <c:v>285</c:v>
                </c:pt>
                <c:pt idx="86">
                  <c:v>284.89999999999998</c:v>
                </c:pt>
                <c:pt idx="87">
                  <c:v>284.8</c:v>
                </c:pt>
                <c:pt idx="88">
                  <c:v>284.7</c:v>
                </c:pt>
                <c:pt idx="89">
                  <c:v>284.60000000000002</c:v>
                </c:pt>
                <c:pt idx="90">
                  <c:v>284.5</c:v>
                </c:pt>
                <c:pt idx="91">
                  <c:v>284.39999999999998</c:v>
                </c:pt>
                <c:pt idx="92">
                  <c:v>284.3</c:v>
                </c:pt>
                <c:pt idx="93">
                  <c:v>284.2</c:v>
                </c:pt>
                <c:pt idx="94">
                  <c:v>284.10000000000002</c:v>
                </c:pt>
                <c:pt idx="95">
                  <c:v>284</c:v>
                </c:pt>
                <c:pt idx="96">
                  <c:v>283.89999999999998</c:v>
                </c:pt>
                <c:pt idx="97">
                  <c:v>283.8</c:v>
                </c:pt>
                <c:pt idx="98">
                  <c:v>283.7</c:v>
                </c:pt>
                <c:pt idx="99">
                  <c:v>283.60000000000002</c:v>
                </c:pt>
                <c:pt idx="100">
                  <c:v>283.5</c:v>
                </c:pt>
                <c:pt idx="101">
                  <c:v>283.39999999999998</c:v>
                </c:pt>
                <c:pt idx="102">
                  <c:v>283.3</c:v>
                </c:pt>
                <c:pt idx="103">
                  <c:v>283.2</c:v>
                </c:pt>
                <c:pt idx="104">
                  <c:v>283.10000000000002</c:v>
                </c:pt>
                <c:pt idx="105">
                  <c:v>283</c:v>
                </c:pt>
                <c:pt idx="106">
                  <c:v>282.89999999999998</c:v>
                </c:pt>
                <c:pt idx="107">
                  <c:v>282.8</c:v>
                </c:pt>
                <c:pt idx="108">
                  <c:v>282.7</c:v>
                </c:pt>
                <c:pt idx="109">
                  <c:v>282.60000000000002</c:v>
                </c:pt>
                <c:pt idx="110">
                  <c:v>282.5</c:v>
                </c:pt>
                <c:pt idx="111">
                  <c:v>282.39999999999998</c:v>
                </c:pt>
                <c:pt idx="112">
                  <c:v>282.3</c:v>
                </c:pt>
                <c:pt idx="113">
                  <c:v>282.2</c:v>
                </c:pt>
                <c:pt idx="114">
                  <c:v>282.10000000000002</c:v>
                </c:pt>
                <c:pt idx="115">
                  <c:v>282</c:v>
                </c:pt>
                <c:pt idx="116">
                  <c:v>281.89999999999998</c:v>
                </c:pt>
                <c:pt idx="117">
                  <c:v>281.8</c:v>
                </c:pt>
                <c:pt idx="118">
                  <c:v>281.7</c:v>
                </c:pt>
                <c:pt idx="119">
                  <c:v>281.60000000000002</c:v>
                </c:pt>
                <c:pt idx="120">
                  <c:v>281.5</c:v>
                </c:pt>
              </c:numCache>
            </c:numRef>
          </c:xVal>
          <c:yVal>
            <c:numRef>
              <c:f>'Registro Tratado'!$AF$3870:$AF$3990</c:f>
              <c:numCache>
                <c:formatCode>0.0000</c:formatCode>
                <c:ptCount val="121"/>
                <c:pt idx="0">
                  <c:v>0.20644008992445959</c:v>
                </c:pt>
                <c:pt idx="1">
                  <c:v>0.20798673180629146</c:v>
                </c:pt>
                <c:pt idx="2">
                  <c:v>0.20870945098100246</c:v>
                </c:pt>
                <c:pt idx="3">
                  <c:v>0.20896233576531745</c:v>
                </c:pt>
                <c:pt idx="4">
                  <c:v>0.2092505229002323</c:v>
                </c:pt>
                <c:pt idx="5">
                  <c:v>0.21057442071163138</c:v>
                </c:pt>
                <c:pt idx="6">
                  <c:v>0.21169018789294994</c:v>
                </c:pt>
                <c:pt idx="7">
                  <c:v>0.21218543293697692</c:v>
                </c:pt>
                <c:pt idx="8">
                  <c:v>0.2120368001160419</c:v>
                </c:pt>
                <c:pt idx="9">
                  <c:v>0.21166190522667028</c:v>
                </c:pt>
                <c:pt idx="10">
                  <c:v>0.21298609353483655</c:v>
                </c:pt>
                <c:pt idx="11">
                  <c:v>0.21470576435659611</c:v>
                </c:pt>
                <c:pt idx="12">
                  <c:v>0.2162964708326891</c:v>
                </c:pt>
                <c:pt idx="13">
                  <c:v>0.21776393724494225</c:v>
                </c:pt>
                <c:pt idx="14">
                  <c:v>0.21872584607743356</c:v>
                </c:pt>
                <c:pt idx="15">
                  <c:v>0.2207138299285859</c:v>
                </c:pt>
                <c:pt idx="16">
                  <c:v>0.22291407665618237</c:v>
                </c:pt>
                <c:pt idx="17">
                  <c:v>0.22606735253235472</c:v>
                </c:pt>
                <c:pt idx="18">
                  <c:v>0.22874332615408921</c:v>
                </c:pt>
                <c:pt idx="19">
                  <c:v>0.23318576476751621</c:v>
                </c:pt>
                <c:pt idx="20">
                  <c:v>0.23786933782334976</c:v>
                </c:pt>
                <c:pt idx="21">
                  <c:v>0.24379002879048975</c:v>
                </c:pt>
                <c:pt idx="22">
                  <c:v>0.24970764902713263</c:v>
                </c:pt>
                <c:pt idx="23">
                  <c:v>0.25746339184190409</c:v>
                </c:pt>
                <c:pt idx="24">
                  <c:v>0.26528015834432023</c:v>
                </c:pt>
                <c:pt idx="25">
                  <c:v>0.27346023804435005</c:v>
                </c:pt>
                <c:pt idx="26">
                  <c:v>0.281033540965555</c:v>
                </c:pt>
                <c:pt idx="27">
                  <c:v>0.28862306208138316</c:v>
                </c:pt>
                <c:pt idx="28">
                  <c:v>0.29569501852433239</c:v>
                </c:pt>
                <c:pt idx="29">
                  <c:v>0.30217804919453722</c:v>
                </c:pt>
                <c:pt idx="30">
                  <c:v>0.30729405109872276</c:v>
                </c:pt>
                <c:pt idx="31">
                  <c:v>0.31198974700826138</c:v>
                </c:pt>
                <c:pt idx="32">
                  <c:v>0.31571132262784357</c:v>
                </c:pt>
                <c:pt idx="33">
                  <c:v>0.31854166965218256</c:v>
                </c:pt>
                <c:pt idx="34">
                  <c:v>0.31939257100821211</c:v>
                </c:pt>
                <c:pt idx="35">
                  <c:v>0.31835180228049698</c:v>
                </c:pt>
                <c:pt idx="36">
                  <c:v>0.31647568039390384</c:v>
                </c:pt>
                <c:pt idx="37">
                  <c:v>0.31491243419114356</c:v>
                </c:pt>
                <c:pt idx="38">
                  <c:v>0.31285467147610518</c:v>
                </c:pt>
                <c:pt idx="39">
                  <c:v>0.30975960646888134</c:v>
                </c:pt>
                <c:pt idx="40">
                  <c:v>0.30622030596179278</c:v>
                </c:pt>
                <c:pt idx="41">
                  <c:v>0.30284915128789264</c:v>
                </c:pt>
                <c:pt idx="42">
                  <c:v>0.30094314545233225</c:v>
                </c:pt>
                <c:pt idx="43">
                  <c:v>0.30107342728378877</c:v>
                </c:pt>
                <c:pt idx="44">
                  <c:v>0.30215192333712731</c:v>
                </c:pt>
                <c:pt idx="45">
                  <c:v>0.30406325328199302</c:v>
                </c:pt>
                <c:pt idx="46">
                  <c:v>0.3078407439181165</c:v>
                </c:pt>
                <c:pt idx="47">
                  <c:v>0.31382865673136057</c:v>
                </c:pt>
                <c:pt idx="48">
                  <c:v>0.32171840785797579</c:v>
                </c:pt>
                <c:pt idx="49">
                  <c:v>0.33143704654130618</c:v>
                </c:pt>
                <c:pt idx="50">
                  <c:v>0.34357595971284793</c:v>
                </c:pt>
                <c:pt idx="51">
                  <c:v>0.3584168337991035</c:v>
                </c:pt>
                <c:pt idx="52">
                  <c:v>0.37272633834191393</c:v>
                </c:pt>
                <c:pt idx="53">
                  <c:v>0.38864849674518087</c:v>
                </c:pt>
                <c:pt idx="54">
                  <c:v>0.40546381362757006</c:v>
                </c:pt>
                <c:pt idx="55">
                  <c:v>0.42028498161033501</c:v>
                </c:pt>
                <c:pt idx="56">
                  <c:v>0.43421119273793307</c:v>
                </c:pt>
                <c:pt idx="57">
                  <c:v>0.44457904602500015</c:v>
                </c:pt>
                <c:pt idx="58">
                  <c:v>0.45045727211511893</c:v>
                </c:pt>
                <c:pt idx="59">
                  <c:v>0.45195471380418734</c:v>
                </c:pt>
                <c:pt idx="60">
                  <c:v>0.44751429890705252</c:v>
                </c:pt>
                <c:pt idx="61">
                  <c:v>0.43836204543539325</c:v>
                </c:pt>
                <c:pt idx="62">
                  <c:v>0.42444269993997435</c:v>
                </c:pt>
                <c:pt idx="63">
                  <c:v>0.40745685709538831</c:v>
                </c:pt>
                <c:pt idx="64">
                  <c:v>0.38815990477994289</c:v>
                </c:pt>
                <c:pt idx="65">
                  <c:v>0.3675629551162376</c:v>
                </c:pt>
                <c:pt idx="66">
                  <c:v>0.34667168980165242</c:v>
                </c:pt>
                <c:pt idx="67">
                  <c:v>0.32776355955545255</c:v>
                </c:pt>
                <c:pt idx="68">
                  <c:v>0.30825563140862572</c:v>
                </c:pt>
                <c:pt idx="69">
                  <c:v>0.29175761373307574</c:v>
                </c:pt>
                <c:pt idx="70">
                  <c:v>0.27732495304194382</c:v>
                </c:pt>
                <c:pt idx="71">
                  <c:v>0.264536838537619</c:v>
                </c:pt>
                <c:pt idx="72">
                  <c:v>0.25312459334619392</c:v>
                </c:pt>
                <c:pt idx="73">
                  <c:v>0.2431053695484911</c:v>
                </c:pt>
                <c:pt idx="74">
                  <c:v>0.23583134262205172</c:v>
                </c:pt>
                <c:pt idx="75">
                  <c:v>0.230652218771106</c:v>
                </c:pt>
                <c:pt idx="76">
                  <c:v>0.22663050233140386</c:v>
                </c:pt>
                <c:pt idx="77">
                  <c:v>0.22421485004422037</c:v>
                </c:pt>
                <c:pt idx="78">
                  <c:v>0.22109662416829878</c:v>
                </c:pt>
                <c:pt idx="79">
                  <c:v>0.21916443662662699</c:v>
                </c:pt>
                <c:pt idx="80">
                  <c:v>0.21689717464128469</c:v>
                </c:pt>
                <c:pt idx="81">
                  <c:v>0.2161607124979433</c:v>
                </c:pt>
                <c:pt idx="82">
                  <c:v>0.21506904468312901</c:v>
                </c:pt>
                <c:pt idx="83">
                  <c:v>0.21450644547402564</c:v>
                </c:pt>
                <c:pt idx="84">
                  <c:v>0.2138166544323665</c:v>
                </c:pt>
                <c:pt idx="85">
                  <c:v>0.21256786536099753</c:v>
                </c:pt>
                <c:pt idx="86">
                  <c:v>0.21252535623534291</c:v>
                </c:pt>
                <c:pt idx="87">
                  <c:v>0.21259620708984908</c:v>
                </c:pt>
                <c:pt idx="88">
                  <c:v>0.21344022063841345</c:v>
                </c:pt>
                <c:pt idx="89">
                  <c:v>0.21422186280446928</c:v>
                </c:pt>
                <c:pt idx="90">
                  <c:v>0.21419341479123363</c:v>
                </c:pt>
                <c:pt idx="91">
                  <c:v>0.21366746238895676</c:v>
                </c:pt>
                <c:pt idx="92">
                  <c:v>0.21468440438600808</c:v>
                </c:pt>
                <c:pt idx="93">
                  <c:v>0.21503341552623348</c:v>
                </c:pt>
                <c:pt idx="94">
                  <c:v>0.21474848744968245</c:v>
                </c:pt>
                <c:pt idx="95">
                  <c:v>0.2148268240376757</c:v>
                </c:pt>
                <c:pt idx="96">
                  <c:v>0.2152044621432381</c:v>
                </c:pt>
                <c:pt idx="97">
                  <c:v>0.21702600505595174</c:v>
                </c:pt>
                <c:pt idx="98">
                  <c:v>0.21792171646924635</c:v>
                </c:pt>
                <c:pt idx="99">
                  <c:v>0.21859651050395765</c:v>
                </c:pt>
                <c:pt idx="100">
                  <c:v>0.21865398822593385</c:v>
                </c:pt>
                <c:pt idx="101">
                  <c:v>0.21979793883429355</c:v>
                </c:pt>
                <c:pt idx="102">
                  <c:v>0.22172571694195639</c:v>
                </c:pt>
                <c:pt idx="103">
                  <c:v>0.22351674416631839</c:v>
                </c:pt>
                <c:pt idx="104">
                  <c:v>0.22460802830338808</c:v>
                </c:pt>
                <c:pt idx="105">
                  <c:v>0.22454975720684237</c:v>
                </c:pt>
                <c:pt idx="106">
                  <c:v>0.22622086643526471</c:v>
                </c:pt>
                <c:pt idx="107">
                  <c:v>0.2273849501508291</c:v>
                </c:pt>
                <c:pt idx="108">
                  <c:v>0.22981097726400673</c:v>
                </c:pt>
                <c:pt idx="109">
                  <c:v>0.23192455234826245</c:v>
                </c:pt>
                <c:pt idx="110">
                  <c:v>0.2345177178073857</c:v>
                </c:pt>
                <c:pt idx="111">
                  <c:v>0.23666186976432821</c:v>
                </c:pt>
                <c:pt idx="112">
                  <c:v>0.23859091971043675</c:v>
                </c:pt>
                <c:pt idx="113">
                  <c:v>0.24070240752047956</c:v>
                </c:pt>
                <c:pt idx="114">
                  <c:v>0.24340952929892343</c:v>
                </c:pt>
                <c:pt idx="115">
                  <c:v>0.24630972113817376</c:v>
                </c:pt>
                <c:pt idx="116">
                  <c:v>0.2487825024401816</c:v>
                </c:pt>
                <c:pt idx="117">
                  <c:v>0.25202917453966384</c:v>
                </c:pt>
                <c:pt idx="118">
                  <c:v>0.25433197383444173</c:v>
                </c:pt>
                <c:pt idx="119">
                  <c:v>0.25731413760277483</c:v>
                </c:pt>
                <c:pt idx="120">
                  <c:v>0.26030901206278767</c:v>
                </c:pt>
              </c:numCache>
            </c:numRef>
          </c:yVal>
          <c:smooth val="1"/>
          <c:extLst>
            <c:ext xmlns:c16="http://schemas.microsoft.com/office/drawing/2014/chart" uri="{C3380CC4-5D6E-409C-BE32-E72D297353CC}">
              <c16:uniqueId val="{00000000-9708-41B5-BADE-89E87FB11F9C}"/>
            </c:ext>
          </c:extLst>
        </c:ser>
        <c:ser>
          <c:idx val="1"/>
          <c:order val="1"/>
          <c:tx>
            <c:v>Pico 3 - CAL1</c:v>
          </c:tx>
          <c:spPr>
            <a:ln>
              <a:solidFill>
                <a:srgbClr val="FF0000"/>
              </a:solidFill>
            </a:ln>
          </c:spPr>
          <c:marker>
            <c:symbol val="none"/>
          </c:marker>
          <c:trendline>
            <c:trendlineType val="poly"/>
            <c:order val="6"/>
            <c:dispRSqr val="1"/>
            <c:dispEq val="1"/>
            <c:trendlineLbl>
              <c:layout>
                <c:manualLayout>
                  <c:x val="8.2970186002291516E-2"/>
                  <c:y val="-0.3632066865428229"/>
                </c:manualLayout>
              </c:layout>
              <c:numFmt formatCode="0.000000000000000E+00" sourceLinked="0"/>
            </c:trendlineLbl>
          </c:trendline>
          <c:xVal>
            <c:numRef>
              <c:f>'Registro Tratado'!$B$284:$B$290</c:f>
              <c:numCache>
                <c:formatCode>0.0</c:formatCode>
                <c:ptCount val="7"/>
                <c:pt idx="0">
                  <c:v>292</c:v>
                </c:pt>
                <c:pt idx="1">
                  <c:v>291</c:v>
                </c:pt>
                <c:pt idx="2">
                  <c:v>290</c:v>
                </c:pt>
                <c:pt idx="3">
                  <c:v>289</c:v>
                </c:pt>
                <c:pt idx="4">
                  <c:v>288</c:v>
                </c:pt>
                <c:pt idx="5">
                  <c:v>287</c:v>
                </c:pt>
                <c:pt idx="6">
                  <c:v>286</c:v>
                </c:pt>
              </c:numCache>
            </c:numRef>
          </c:xVal>
          <c:yVal>
            <c:numRef>
              <c:f>'Registro Tratado'!$C$284:$C$290</c:f>
              <c:numCache>
                <c:formatCode>0.000</c:formatCode>
                <c:ptCount val="7"/>
                <c:pt idx="0">
                  <c:v>0.20300000000000001</c:v>
                </c:pt>
                <c:pt idx="1">
                  <c:v>0.22700000000000001</c:v>
                </c:pt>
                <c:pt idx="2">
                  <c:v>0.25900000000000001</c:v>
                </c:pt>
                <c:pt idx="3">
                  <c:v>0.27300000000000002</c:v>
                </c:pt>
                <c:pt idx="4">
                  <c:v>0.26800000000000002</c:v>
                </c:pt>
                <c:pt idx="5">
                  <c:v>0.251</c:v>
                </c:pt>
                <c:pt idx="6">
                  <c:v>0.224</c:v>
                </c:pt>
              </c:numCache>
            </c:numRef>
          </c:yVal>
          <c:smooth val="1"/>
          <c:extLst>
            <c:ext xmlns:c16="http://schemas.microsoft.com/office/drawing/2014/chart" uri="{C3380CC4-5D6E-409C-BE32-E72D297353CC}">
              <c16:uniqueId val="{00000001-9708-41B5-BADE-89E87FB11F9C}"/>
            </c:ext>
          </c:extLst>
        </c:ser>
        <c:ser>
          <c:idx val="2"/>
          <c:order val="2"/>
          <c:tx>
            <c:v>Pico 3 - Largura de banda</c:v>
          </c:tx>
          <c:spPr>
            <a:ln w="15875">
              <a:solidFill>
                <a:srgbClr val="FFC000"/>
              </a:solidFill>
            </a:ln>
          </c:spPr>
          <c:marker>
            <c:symbol val="none"/>
          </c:marker>
          <c:xVal>
            <c:numRef>
              <c:f>'Registro Tratado'!$AH$279:$CP$279</c:f>
              <c:numCache>
                <c:formatCode>0.0</c:formatCode>
                <c:ptCount val="61"/>
                <c:pt idx="0">
                  <c:v>281.5</c:v>
                </c:pt>
                <c:pt idx="1">
                  <c:v>281.7</c:v>
                </c:pt>
                <c:pt idx="2">
                  <c:v>281.89999999999998</c:v>
                </c:pt>
                <c:pt idx="3">
                  <c:v>282.09999999999997</c:v>
                </c:pt>
                <c:pt idx="4">
                  <c:v>282.29999999999995</c:v>
                </c:pt>
                <c:pt idx="5">
                  <c:v>282.49999999999994</c:v>
                </c:pt>
                <c:pt idx="6">
                  <c:v>282.69999999999993</c:v>
                </c:pt>
                <c:pt idx="7">
                  <c:v>282.89999999999992</c:v>
                </c:pt>
                <c:pt idx="8">
                  <c:v>283.09999999999991</c:v>
                </c:pt>
                <c:pt idx="9">
                  <c:v>283.2999999999999</c:v>
                </c:pt>
                <c:pt idx="10">
                  <c:v>283.49999999999989</c:v>
                </c:pt>
                <c:pt idx="11">
                  <c:v>283.69999999999987</c:v>
                </c:pt>
                <c:pt idx="12">
                  <c:v>283.89999999999986</c:v>
                </c:pt>
                <c:pt idx="13">
                  <c:v>284.09999999999985</c:v>
                </c:pt>
                <c:pt idx="14">
                  <c:v>284.29999999999984</c:v>
                </c:pt>
                <c:pt idx="15">
                  <c:v>284.49999999999983</c:v>
                </c:pt>
                <c:pt idx="16">
                  <c:v>284.69999999999982</c:v>
                </c:pt>
                <c:pt idx="17">
                  <c:v>284.89999999999981</c:v>
                </c:pt>
                <c:pt idx="18">
                  <c:v>285.0999999999998</c:v>
                </c:pt>
                <c:pt idx="19">
                  <c:v>285.29999999999978</c:v>
                </c:pt>
                <c:pt idx="20">
                  <c:v>285.49999999999977</c:v>
                </c:pt>
                <c:pt idx="21">
                  <c:v>285.69999999999976</c:v>
                </c:pt>
                <c:pt idx="22">
                  <c:v>285.89999999999975</c:v>
                </c:pt>
                <c:pt idx="23">
                  <c:v>286.09999999999974</c:v>
                </c:pt>
                <c:pt idx="24">
                  <c:v>286.29999999999973</c:v>
                </c:pt>
                <c:pt idx="25">
                  <c:v>286.49999999999972</c:v>
                </c:pt>
                <c:pt idx="26">
                  <c:v>286.6999999999997</c:v>
                </c:pt>
                <c:pt idx="27">
                  <c:v>286.89999999999969</c:v>
                </c:pt>
                <c:pt idx="28">
                  <c:v>287.09999999999968</c:v>
                </c:pt>
                <c:pt idx="29">
                  <c:v>287.29999999999967</c:v>
                </c:pt>
                <c:pt idx="30">
                  <c:v>287.49999999999966</c:v>
                </c:pt>
                <c:pt idx="31">
                  <c:v>287.69999999999965</c:v>
                </c:pt>
                <c:pt idx="32">
                  <c:v>287.89999999999964</c:v>
                </c:pt>
                <c:pt idx="33">
                  <c:v>288.09999999999962</c:v>
                </c:pt>
                <c:pt idx="34">
                  <c:v>288.29999999999961</c:v>
                </c:pt>
                <c:pt idx="35">
                  <c:v>288.4999999999996</c:v>
                </c:pt>
                <c:pt idx="36">
                  <c:v>288.69999999999959</c:v>
                </c:pt>
                <c:pt idx="37">
                  <c:v>288.89999999999958</c:v>
                </c:pt>
                <c:pt idx="38">
                  <c:v>289.09999999999957</c:v>
                </c:pt>
                <c:pt idx="39">
                  <c:v>289.29999999999956</c:v>
                </c:pt>
                <c:pt idx="40">
                  <c:v>289.49999999999955</c:v>
                </c:pt>
                <c:pt idx="41">
                  <c:v>289.69999999999953</c:v>
                </c:pt>
                <c:pt idx="42">
                  <c:v>289.89999999999952</c:v>
                </c:pt>
                <c:pt idx="43">
                  <c:v>290.09999999999951</c:v>
                </c:pt>
                <c:pt idx="44">
                  <c:v>290.2999999999995</c:v>
                </c:pt>
                <c:pt idx="45">
                  <c:v>290.49999999999949</c:v>
                </c:pt>
                <c:pt idx="46">
                  <c:v>290.69999999999948</c:v>
                </c:pt>
                <c:pt idx="47">
                  <c:v>290.89999999999947</c:v>
                </c:pt>
                <c:pt idx="48">
                  <c:v>291.09999999999945</c:v>
                </c:pt>
                <c:pt idx="49">
                  <c:v>291.29999999999944</c:v>
                </c:pt>
                <c:pt idx="50">
                  <c:v>291.49999999999943</c:v>
                </c:pt>
                <c:pt idx="51">
                  <c:v>291.69999999999942</c:v>
                </c:pt>
                <c:pt idx="52">
                  <c:v>291.89999999999941</c:v>
                </c:pt>
                <c:pt idx="53">
                  <c:v>292.0999999999994</c:v>
                </c:pt>
                <c:pt idx="54">
                  <c:v>292.29999999999939</c:v>
                </c:pt>
                <c:pt idx="55">
                  <c:v>292.49999999999937</c:v>
                </c:pt>
                <c:pt idx="56">
                  <c:v>292.69999999999936</c:v>
                </c:pt>
                <c:pt idx="57">
                  <c:v>292.89999999999935</c:v>
                </c:pt>
                <c:pt idx="58">
                  <c:v>293.09999999999934</c:v>
                </c:pt>
                <c:pt idx="59">
                  <c:v>293.29999999999933</c:v>
                </c:pt>
                <c:pt idx="60">
                  <c:v>293.49999999999932</c:v>
                </c:pt>
              </c:numCache>
            </c:numRef>
          </c:xVal>
          <c:yVal>
            <c:numRef>
              <c:f>'Registro Tratado'!$AH$280:$CP$280</c:f>
              <c:numCache>
                <c:formatCode>0.0000</c:formatCode>
                <c:ptCount val="61"/>
                <c:pt idx="0">
                  <c:v>0.37645000000000001</c:v>
                </c:pt>
                <c:pt idx="1">
                  <c:v>0.37645000000000001</c:v>
                </c:pt>
                <c:pt idx="2">
                  <c:v>0.37645000000000001</c:v>
                </c:pt>
                <c:pt idx="3">
                  <c:v>0.37645000000000001</c:v>
                </c:pt>
                <c:pt idx="4">
                  <c:v>0.37645000000000001</c:v>
                </c:pt>
                <c:pt idx="5">
                  <c:v>0.37645000000000001</c:v>
                </c:pt>
                <c:pt idx="6">
                  <c:v>0.37645000000000001</c:v>
                </c:pt>
                <c:pt idx="7">
                  <c:v>0.37645000000000001</c:v>
                </c:pt>
                <c:pt idx="8">
                  <c:v>0.37645000000000001</c:v>
                </c:pt>
                <c:pt idx="9">
                  <c:v>0.37645000000000001</c:v>
                </c:pt>
                <c:pt idx="10">
                  <c:v>0.37645000000000001</c:v>
                </c:pt>
                <c:pt idx="11">
                  <c:v>0.37645000000000001</c:v>
                </c:pt>
                <c:pt idx="12">
                  <c:v>0.37645000000000001</c:v>
                </c:pt>
                <c:pt idx="13">
                  <c:v>0.37645000000000001</c:v>
                </c:pt>
                <c:pt idx="14">
                  <c:v>0.37645000000000001</c:v>
                </c:pt>
                <c:pt idx="15">
                  <c:v>0.37645000000000001</c:v>
                </c:pt>
                <c:pt idx="16">
                  <c:v>0.37645000000000001</c:v>
                </c:pt>
                <c:pt idx="17">
                  <c:v>0.37645000000000001</c:v>
                </c:pt>
                <c:pt idx="18">
                  <c:v>0.37645000000000001</c:v>
                </c:pt>
                <c:pt idx="19">
                  <c:v>0.37645000000000001</c:v>
                </c:pt>
                <c:pt idx="20">
                  <c:v>0.37645000000000001</c:v>
                </c:pt>
                <c:pt idx="21">
                  <c:v>0.37645000000000001</c:v>
                </c:pt>
                <c:pt idx="22">
                  <c:v>0.37645000000000001</c:v>
                </c:pt>
                <c:pt idx="23">
                  <c:v>0.37645000000000001</c:v>
                </c:pt>
                <c:pt idx="24">
                  <c:v>0.37645000000000001</c:v>
                </c:pt>
                <c:pt idx="25">
                  <c:v>0.37645000000000001</c:v>
                </c:pt>
                <c:pt idx="26">
                  <c:v>0.37645000000000001</c:v>
                </c:pt>
                <c:pt idx="27">
                  <c:v>0.37645000000000001</c:v>
                </c:pt>
                <c:pt idx="28">
                  <c:v>0.37645000000000001</c:v>
                </c:pt>
                <c:pt idx="29">
                  <c:v>0.37645000000000001</c:v>
                </c:pt>
                <c:pt idx="30">
                  <c:v>0.37645000000000001</c:v>
                </c:pt>
                <c:pt idx="31">
                  <c:v>0.37645000000000001</c:v>
                </c:pt>
                <c:pt idx="32">
                  <c:v>0.37645000000000001</c:v>
                </c:pt>
                <c:pt idx="33">
                  <c:v>0.37645000000000001</c:v>
                </c:pt>
                <c:pt idx="34">
                  <c:v>0.37645000000000001</c:v>
                </c:pt>
                <c:pt idx="35">
                  <c:v>0.37645000000000001</c:v>
                </c:pt>
                <c:pt idx="36">
                  <c:v>0.37645000000000001</c:v>
                </c:pt>
                <c:pt idx="37">
                  <c:v>0.37645000000000001</c:v>
                </c:pt>
                <c:pt idx="38">
                  <c:v>0.37645000000000001</c:v>
                </c:pt>
                <c:pt idx="39">
                  <c:v>0.37645000000000001</c:v>
                </c:pt>
                <c:pt idx="40">
                  <c:v>0.37645000000000001</c:v>
                </c:pt>
                <c:pt idx="41">
                  <c:v>0.37645000000000001</c:v>
                </c:pt>
                <c:pt idx="42">
                  <c:v>0.37645000000000001</c:v>
                </c:pt>
                <c:pt idx="43">
                  <c:v>0.37645000000000001</c:v>
                </c:pt>
                <c:pt idx="44">
                  <c:v>0.37645000000000001</c:v>
                </c:pt>
                <c:pt idx="45">
                  <c:v>0.37645000000000001</c:v>
                </c:pt>
                <c:pt idx="46">
                  <c:v>0.37645000000000001</c:v>
                </c:pt>
                <c:pt idx="47">
                  <c:v>0.37645000000000001</c:v>
                </c:pt>
                <c:pt idx="48">
                  <c:v>0.37645000000000001</c:v>
                </c:pt>
                <c:pt idx="49">
                  <c:v>0.37645000000000001</c:v>
                </c:pt>
                <c:pt idx="50">
                  <c:v>0.37645000000000001</c:v>
                </c:pt>
                <c:pt idx="51">
                  <c:v>0.37645000000000001</c:v>
                </c:pt>
                <c:pt idx="52">
                  <c:v>0.37645000000000001</c:v>
                </c:pt>
                <c:pt idx="53">
                  <c:v>0.37645000000000001</c:v>
                </c:pt>
                <c:pt idx="54">
                  <c:v>0.37645000000000001</c:v>
                </c:pt>
                <c:pt idx="55">
                  <c:v>0.37645000000000001</c:v>
                </c:pt>
                <c:pt idx="56">
                  <c:v>0.37645000000000001</c:v>
                </c:pt>
                <c:pt idx="57">
                  <c:v>0.37645000000000001</c:v>
                </c:pt>
                <c:pt idx="58">
                  <c:v>0.37645000000000001</c:v>
                </c:pt>
                <c:pt idx="59">
                  <c:v>0.37645000000000001</c:v>
                </c:pt>
                <c:pt idx="60">
                  <c:v>0.37645000000000001</c:v>
                </c:pt>
              </c:numCache>
            </c:numRef>
          </c:yVal>
          <c:smooth val="1"/>
          <c:extLst>
            <c:ext xmlns:c16="http://schemas.microsoft.com/office/drawing/2014/chart" uri="{C3380CC4-5D6E-409C-BE32-E72D297353CC}">
              <c16:uniqueId val="{00000002-9708-41B5-BADE-89E87FB11F9C}"/>
            </c:ext>
          </c:extLst>
        </c:ser>
        <c:ser>
          <c:idx val="3"/>
          <c:order val="3"/>
          <c:tx>
            <c:v>Pico 3 - CAL 2</c:v>
          </c:tx>
          <c:spPr>
            <a:ln>
              <a:solidFill>
                <a:srgbClr val="00B050"/>
              </a:solidFill>
            </a:ln>
          </c:spPr>
          <c:marker>
            <c:symbol val="none"/>
          </c:marker>
          <c:trendline>
            <c:trendlineType val="poly"/>
            <c:order val="6"/>
            <c:dispRSqr val="1"/>
            <c:dispEq val="1"/>
            <c:trendlineLbl>
              <c:layout>
                <c:manualLayout>
                  <c:x val="7.8842219026027324E-2"/>
                  <c:y val="6.4719381341700008E-2"/>
                </c:manualLayout>
              </c:layout>
              <c:numFmt formatCode="0.000000000000000E+00" sourceLinked="0"/>
            </c:trendlineLbl>
          </c:trendline>
          <c:xVal>
            <c:numRef>
              <c:f>'Registro Tratado'!$E$284:$E$290</c:f>
              <c:numCache>
                <c:formatCode>0.0</c:formatCode>
                <c:ptCount val="7"/>
                <c:pt idx="0">
                  <c:v>289.5</c:v>
                </c:pt>
                <c:pt idx="1">
                  <c:v>289</c:v>
                </c:pt>
                <c:pt idx="2">
                  <c:v>288.5</c:v>
                </c:pt>
                <c:pt idx="3">
                  <c:v>288</c:v>
                </c:pt>
                <c:pt idx="4">
                  <c:v>287.5</c:v>
                </c:pt>
                <c:pt idx="5">
                  <c:v>287</c:v>
                </c:pt>
                <c:pt idx="6">
                  <c:v>286.5</c:v>
                </c:pt>
              </c:numCache>
            </c:numRef>
          </c:xVal>
          <c:yVal>
            <c:numRef>
              <c:f>'Registro Tratado'!$F$284:$F$290</c:f>
              <c:numCache>
                <c:formatCode>0.000</c:formatCode>
                <c:ptCount val="7"/>
                <c:pt idx="0">
                  <c:v>0.21</c:v>
                </c:pt>
                <c:pt idx="1">
                  <c:v>0.23599999999999999</c:v>
                </c:pt>
                <c:pt idx="2">
                  <c:v>0.26600000000000001</c:v>
                </c:pt>
                <c:pt idx="3">
                  <c:v>0.27400000000000002</c:v>
                </c:pt>
                <c:pt idx="4">
                  <c:v>0.26300000000000001</c:v>
                </c:pt>
                <c:pt idx="5">
                  <c:v>0.24399999999999999</c:v>
                </c:pt>
                <c:pt idx="6">
                  <c:v>0.217</c:v>
                </c:pt>
              </c:numCache>
            </c:numRef>
          </c:yVal>
          <c:smooth val="1"/>
          <c:extLst>
            <c:ext xmlns:c16="http://schemas.microsoft.com/office/drawing/2014/chart" uri="{C3380CC4-5D6E-409C-BE32-E72D297353CC}">
              <c16:uniqueId val="{00000003-9708-41B5-BADE-89E87FB11F9C}"/>
            </c:ext>
          </c:extLst>
        </c:ser>
        <c:dLbls>
          <c:showLegendKey val="0"/>
          <c:showVal val="0"/>
          <c:showCatName val="0"/>
          <c:showSerName val="0"/>
          <c:showPercent val="0"/>
          <c:showBubbleSize val="0"/>
        </c:dLbls>
        <c:axId val="79336576"/>
        <c:axId val="79338496"/>
      </c:scatterChart>
      <c:valAx>
        <c:axId val="79336576"/>
        <c:scaling>
          <c:orientation val="minMax"/>
          <c:max val="293.5"/>
          <c:min val="281.5"/>
        </c:scaling>
        <c:delete val="0"/>
        <c:axPos val="t"/>
        <c:title>
          <c:tx>
            <c:rich>
              <a:bodyPr/>
              <a:lstStyle/>
              <a:p>
                <a:pPr>
                  <a:defRPr sz="1000" b="1" i="0" u="none" strike="noStrike" baseline="0">
                    <a:solidFill>
                      <a:srgbClr val="000000"/>
                    </a:solidFill>
                    <a:latin typeface="Arial"/>
                    <a:ea typeface="Arial"/>
                    <a:cs typeface="Arial"/>
                  </a:defRPr>
                </a:pPr>
                <a:r>
                  <a:rPr lang="pt-BR"/>
                  <a:t>Comprimento</a:t>
                </a:r>
                <a:r>
                  <a:rPr lang="pt-BR" baseline="0"/>
                  <a:t> de Onda</a:t>
                </a:r>
                <a:r>
                  <a:rPr lang="pt-BR"/>
                  <a:t> [nm]</a:t>
                </a:r>
              </a:p>
            </c:rich>
          </c:tx>
          <c:layout>
            <c:manualLayout>
              <c:xMode val="edge"/>
              <c:yMode val="edge"/>
              <c:x val="0.43979123805746739"/>
              <c:y val="0.89920390254248539"/>
            </c:manualLayout>
          </c:layout>
          <c:overlay val="0"/>
          <c:spPr>
            <a:noFill/>
            <a:ln w="25400">
              <a:noFill/>
            </a:ln>
          </c:spPr>
        </c:title>
        <c:numFmt formatCode="0.0" sourceLinked="0"/>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pt-BR"/>
          </a:p>
        </c:txPr>
        <c:crossAx val="79338496"/>
        <c:crosses val="max"/>
        <c:crossBetween val="midCat"/>
        <c:majorUnit val="1"/>
        <c:minorUnit val="0.2"/>
      </c:valAx>
      <c:valAx>
        <c:axId val="79338496"/>
        <c:scaling>
          <c:orientation val="minMax"/>
          <c:max val="0.46"/>
          <c:min val="0.2"/>
        </c:scaling>
        <c:delete val="0"/>
        <c:axPos val="l"/>
        <c:majorGridlines>
          <c:spPr>
            <a:ln w="3175">
              <a:solidFill>
                <a:schemeClr val="bg1">
                  <a:lumMod val="65000"/>
                </a:schemeClr>
              </a:solidFill>
              <a:prstDash val="solid"/>
            </a:ln>
          </c:spPr>
        </c:majorGridlines>
        <c:title>
          <c:tx>
            <c:rich>
              <a:bodyPr/>
              <a:lstStyle/>
              <a:p>
                <a:pPr>
                  <a:defRPr sz="1000" b="1" i="0" u="none" strike="noStrike" baseline="0">
                    <a:solidFill>
                      <a:srgbClr val="000000"/>
                    </a:solidFill>
                    <a:latin typeface="Arial"/>
                    <a:ea typeface="Arial"/>
                    <a:cs typeface="Arial"/>
                  </a:defRPr>
                </a:pPr>
                <a:r>
                  <a:rPr lang="pt-BR"/>
                  <a:t>Absorbância </a:t>
                </a:r>
              </a:p>
            </c:rich>
          </c:tx>
          <c:layout>
            <c:manualLayout>
              <c:xMode val="edge"/>
              <c:yMode val="edge"/>
              <c:x val="1.4464127978496838E-2"/>
              <c:y val="0.3447447528075383"/>
            </c:manualLayout>
          </c:layout>
          <c:overlay val="0"/>
          <c:spPr>
            <a:noFill/>
            <a:ln w="25400">
              <a:noFill/>
            </a:ln>
          </c:spPr>
        </c:title>
        <c:numFmt formatCode="0.00" sourceLinked="0"/>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pt-BR"/>
          </a:p>
        </c:txPr>
        <c:crossAx val="79336576"/>
        <c:crossesAt val="281.5"/>
        <c:crossBetween val="midCat"/>
        <c:majorUnit val="2.0000000000000011E-2"/>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pt-BR"/>
    </a:p>
  </c:txPr>
  <c:printSettings>
    <c:headerFooter alignWithMargins="0"/>
    <c:pageMargins b="0.98425196899999978" l="0.78740157499999996" r="0.78740157499999996" t="0.98425196899999978" header="0.5" footer="0.5"/>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BR" sz="1100" b="1"/>
              <a:t>Pico 2  -  279,3 nm</a:t>
            </a:r>
          </a:p>
        </c:rich>
      </c:tx>
      <c:layout>
        <c:manualLayout>
          <c:xMode val="edge"/>
          <c:yMode val="edge"/>
          <c:x val="0.54164327045688065"/>
          <c:y val="0.1408385163975715"/>
        </c:manualLayout>
      </c:layout>
      <c:overlay val="0"/>
    </c:title>
    <c:autoTitleDeleted val="0"/>
    <c:plotArea>
      <c:layout>
        <c:manualLayout>
          <c:layoutTarget val="inner"/>
          <c:xMode val="edge"/>
          <c:yMode val="edge"/>
          <c:x val="7.4030397363120337E-2"/>
          <c:y val="8.5098873026628372E-2"/>
          <c:w val="0.81675531869566498"/>
          <c:h val="0.74801061007957614"/>
        </c:manualLayout>
      </c:layout>
      <c:scatterChart>
        <c:scatterStyle val="smoothMarker"/>
        <c:varyColors val="0"/>
        <c:ser>
          <c:idx val="0"/>
          <c:order val="0"/>
          <c:tx>
            <c:v>Pico 2</c:v>
          </c:tx>
          <c:spPr>
            <a:ln w="12700">
              <a:solidFill>
                <a:srgbClr val="000080"/>
              </a:solidFill>
              <a:prstDash val="solid"/>
            </a:ln>
          </c:spPr>
          <c:marker>
            <c:symbol val="none"/>
          </c:marker>
          <c:xVal>
            <c:numRef>
              <c:f>'Registro Tratado'!$AD$3950:$AD$4070</c:f>
              <c:numCache>
                <c:formatCode>0.0</c:formatCode>
                <c:ptCount val="121"/>
                <c:pt idx="0">
                  <c:v>285.5</c:v>
                </c:pt>
                <c:pt idx="1">
                  <c:v>285.39999999999998</c:v>
                </c:pt>
                <c:pt idx="2">
                  <c:v>285.3</c:v>
                </c:pt>
                <c:pt idx="3">
                  <c:v>285.2</c:v>
                </c:pt>
                <c:pt idx="4">
                  <c:v>285.10000000000002</c:v>
                </c:pt>
                <c:pt idx="5">
                  <c:v>285</c:v>
                </c:pt>
                <c:pt idx="6">
                  <c:v>284.89999999999998</c:v>
                </c:pt>
                <c:pt idx="7">
                  <c:v>284.8</c:v>
                </c:pt>
                <c:pt idx="8">
                  <c:v>284.7</c:v>
                </c:pt>
                <c:pt idx="9">
                  <c:v>284.60000000000002</c:v>
                </c:pt>
                <c:pt idx="10">
                  <c:v>284.5</c:v>
                </c:pt>
                <c:pt idx="11">
                  <c:v>284.39999999999998</c:v>
                </c:pt>
                <c:pt idx="12">
                  <c:v>284.3</c:v>
                </c:pt>
                <c:pt idx="13">
                  <c:v>284.2</c:v>
                </c:pt>
                <c:pt idx="14">
                  <c:v>284.10000000000002</c:v>
                </c:pt>
                <c:pt idx="15">
                  <c:v>284</c:v>
                </c:pt>
                <c:pt idx="16">
                  <c:v>283.89999999999998</c:v>
                </c:pt>
                <c:pt idx="17">
                  <c:v>283.8</c:v>
                </c:pt>
                <c:pt idx="18">
                  <c:v>283.7</c:v>
                </c:pt>
                <c:pt idx="19">
                  <c:v>283.60000000000002</c:v>
                </c:pt>
                <c:pt idx="20">
                  <c:v>283.5</c:v>
                </c:pt>
                <c:pt idx="21">
                  <c:v>283.39999999999998</c:v>
                </c:pt>
                <c:pt idx="22">
                  <c:v>283.3</c:v>
                </c:pt>
                <c:pt idx="23">
                  <c:v>283.2</c:v>
                </c:pt>
                <c:pt idx="24">
                  <c:v>283.10000000000002</c:v>
                </c:pt>
                <c:pt idx="25">
                  <c:v>283</c:v>
                </c:pt>
                <c:pt idx="26">
                  <c:v>282.89999999999998</c:v>
                </c:pt>
                <c:pt idx="27">
                  <c:v>282.8</c:v>
                </c:pt>
                <c:pt idx="28">
                  <c:v>282.7</c:v>
                </c:pt>
                <c:pt idx="29">
                  <c:v>282.60000000000002</c:v>
                </c:pt>
                <c:pt idx="30">
                  <c:v>282.5</c:v>
                </c:pt>
                <c:pt idx="31">
                  <c:v>282.39999999999998</c:v>
                </c:pt>
                <c:pt idx="32">
                  <c:v>282.3</c:v>
                </c:pt>
                <c:pt idx="33">
                  <c:v>282.2</c:v>
                </c:pt>
                <c:pt idx="34">
                  <c:v>282.10000000000002</c:v>
                </c:pt>
                <c:pt idx="35">
                  <c:v>282</c:v>
                </c:pt>
                <c:pt idx="36">
                  <c:v>281.89999999999998</c:v>
                </c:pt>
                <c:pt idx="37">
                  <c:v>281.8</c:v>
                </c:pt>
                <c:pt idx="38">
                  <c:v>281.7</c:v>
                </c:pt>
                <c:pt idx="39">
                  <c:v>281.60000000000002</c:v>
                </c:pt>
                <c:pt idx="40">
                  <c:v>281.5</c:v>
                </c:pt>
                <c:pt idx="41">
                  <c:v>281.39999999999998</c:v>
                </c:pt>
                <c:pt idx="42">
                  <c:v>281.3</c:v>
                </c:pt>
                <c:pt idx="43">
                  <c:v>281.2</c:v>
                </c:pt>
                <c:pt idx="44">
                  <c:v>281.10000000000002</c:v>
                </c:pt>
                <c:pt idx="45">
                  <c:v>281</c:v>
                </c:pt>
                <c:pt idx="46">
                  <c:v>280.89999999999998</c:v>
                </c:pt>
                <c:pt idx="47">
                  <c:v>280.8</c:v>
                </c:pt>
                <c:pt idx="48">
                  <c:v>280.7</c:v>
                </c:pt>
                <c:pt idx="49">
                  <c:v>280.60000000000002</c:v>
                </c:pt>
                <c:pt idx="50">
                  <c:v>280.5</c:v>
                </c:pt>
                <c:pt idx="51">
                  <c:v>280.39999999999998</c:v>
                </c:pt>
                <c:pt idx="52">
                  <c:v>280.3</c:v>
                </c:pt>
                <c:pt idx="53">
                  <c:v>280.2</c:v>
                </c:pt>
                <c:pt idx="54">
                  <c:v>280.10000000000002</c:v>
                </c:pt>
                <c:pt idx="55">
                  <c:v>280</c:v>
                </c:pt>
                <c:pt idx="56">
                  <c:v>279.89999999999998</c:v>
                </c:pt>
                <c:pt idx="57">
                  <c:v>279.8</c:v>
                </c:pt>
                <c:pt idx="58">
                  <c:v>279.7</c:v>
                </c:pt>
                <c:pt idx="59">
                  <c:v>279.60000000000002</c:v>
                </c:pt>
                <c:pt idx="60">
                  <c:v>279.5</c:v>
                </c:pt>
                <c:pt idx="61">
                  <c:v>279.39999999999998</c:v>
                </c:pt>
                <c:pt idx="62">
                  <c:v>279.3</c:v>
                </c:pt>
                <c:pt idx="63">
                  <c:v>279.2</c:v>
                </c:pt>
                <c:pt idx="64">
                  <c:v>279.10000000000002</c:v>
                </c:pt>
                <c:pt idx="65">
                  <c:v>279</c:v>
                </c:pt>
                <c:pt idx="66">
                  <c:v>278.89999999999998</c:v>
                </c:pt>
                <c:pt idx="67">
                  <c:v>278.8</c:v>
                </c:pt>
                <c:pt idx="68">
                  <c:v>278.7</c:v>
                </c:pt>
                <c:pt idx="69">
                  <c:v>278.60000000000002</c:v>
                </c:pt>
                <c:pt idx="70">
                  <c:v>278.5</c:v>
                </c:pt>
                <c:pt idx="71">
                  <c:v>278.39999999999998</c:v>
                </c:pt>
                <c:pt idx="72">
                  <c:v>278.3</c:v>
                </c:pt>
                <c:pt idx="73">
                  <c:v>278.2</c:v>
                </c:pt>
                <c:pt idx="74">
                  <c:v>278.10000000000002</c:v>
                </c:pt>
                <c:pt idx="75">
                  <c:v>278</c:v>
                </c:pt>
                <c:pt idx="76">
                  <c:v>277.89999999999998</c:v>
                </c:pt>
                <c:pt idx="77">
                  <c:v>277.8</c:v>
                </c:pt>
                <c:pt idx="78">
                  <c:v>277.7</c:v>
                </c:pt>
                <c:pt idx="79">
                  <c:v>277.60000000000002</c:v>
                </c:pt>
                <c:pt idx="80">
                  <c:v>277.5</c:v>
                </c:pt>
                <c:pt idx="81">
                  <c:v>277.39999999999998</c:v>
                </c:pt>
                <c:pt idx="82">
                  <c:v>277.3</c:v>
                </c:pt>
                <c:pt idx="83">
                  <c:v>277.2</c:v>
                </c:pt>
                <c:pt idx="84">
                  <c:v>277.10000000000002</c:v>
                </c:pt>
                <c:pt idx="85">
                  <c:v>277</c:v>
                </c:pt>
                <c:pt idx="86">
                  <c:v>276.89999999999998</c:v>
                </c:pt>
                <c:pt idx="87">
                  <c:v>276.8</c:v>
                </c:pt>
                <c:pt idx="88">
                  <c:v>276.7</c:v>
                </c:pt>
                <c:pt idx="89">
                  <c:v>276.60000000000002</c:v>
                </c:pt>
                <c:pt idx="90">
                  <c:v>276.5</c:v>
                </c:pt>
                <c:pt idx="91">
                  <c:v>276.39999999999998</c:v>
                </c:pt>
                <c:pt idx="92">
                  <c:v>276.3</c:v>
                </c:pt>
                <c:pt idx="93">
                  <c:v>276.2</c:v>
                </c:pt>
                <c:pt idx="94">
                  <c:v>276.10000000000002</c:v>
                </c:pt>
                <c:pt idx="95">
                  <c:v>276</c:v>
                </c:pt>
                <c:pt idx="96">
                  <c:v>275.89999999999998</c:v>
                </c:pt>
                <c:pt idx="97">
                  <c:v>275.8</c:v>
                </c:pt>
                <c:pt idx="98">
                  <c:v>275.7</c:v>
                </c:pt>
                <c:pt idx="99">
                  <c:v>275.60000000000002</c:v>
                </c:pt>
                <c:pt idx="100">
                  <c:v>275.5</c:v>
                </c:pt>
                <c:pt idx="101">
                  <c:v>275.39999999999998</c:v>
                </c:pt>
                <c:pt idx="102">
                  <c:v>275.3</c:v>
                </c:pt>
                <c:pt idx="103">
                  <c:v>275.2</c:v>
                </c:pt>
                <c:pt idx="104">
                  <c:v>275.10000000000002</c:v>
                </c:pt>
                <c:pt idx="105">
                  <c:v>275</c:v>
                </c:pt>
                <c:pt idx="106">
                  <c:v>274.89999999999998</c:v>
                </c:pt>
                <c:pt idx="107">
                  <c:v>274.8</c:v>
                </c:pt>
                <c:pt idx="108">
                  <c:v>274.7</c:v>
                </c:pt>
                <c:pt idx="109">
                  <c:v>274.60000000000002</c:v>
                </c:pt>
                <c:pt idx="110">
                  <c:v>274.5</c:v>
                </c:pt>
                <c:pt idx="111">
                  <c:v>274.39999999999998</c:v>
                </c:pt>
                <c:pt idx="112">
                  <c:v>274.3</c:v>
                </c:pt>
                <c:pt idx="113">
                  <c:v>274.2</c:v>
                </c:pt>
                <c:pt idx="114">
                  <c:v>274.10000000000002</c:v>
                </c:pt>
                <c:pt idx="115">
                  <c:v>274</c:v>
                </c:pt>
                <c:pt idx="116">
                  <c:v>273.89999999999998</c:v>
                </c:pt>
                <c:pt idx="117">
                  <c:v>273.8</c:v>
                </c:pt>
                <c:pt idx="118">
                  <c:v>273.7</c:v>
                </c:pt>
                <c:pt idx="119">
                  <c:v>273.60000000000002</c:v>
                </c:pt>
                <c:pt idx="120">
                  <c:v>273.5</c:v>
                </c:pt>
              </c:numCache>
            </c:numRef>
          </c:xVal>
          <c:yVal>
            <c:numRef>
              <c:f>'Registro Tratado'!$AF$3950:$AF$4070</c:f>
              <c:numCache>
                <c:formatCode>0.0000</c:formatCode>
                <c:ptCount val="121"/>
                <c:pt idx="0">
                  <c:v>0.21689717464128469</c:v>
                </c:pt>
                <c:pt idx="1">
                  <c:v>0.2161607124979433</c:v>
                </c:pt>
                <c:pt idx="2">
                  <c:v>0.21506904468312901</c:v>
                </c:pt>
                <c:pt idx="3">
                  <c:v>0.21450644547402564</c:v>
                </c:pt>
                <c:pt idx="4">
                  <c:v>0.2138166544323665</c:v>
                </c:pt>
                <c:pt idx="5">
                  <c:v>0.21256786536099753</c:v>
                </c:pt>
                <c:pt idx="6">
                  <c:v>0.21252535623534291</c:v>
                </c:pt>
                <c:pt idx="7">
                  <c:v>0.21259620708984908</c:v>
                </c:pt>
                <c:pt idx="8">
                  <c:v>0.21344022063841345</c:v>
                </c:pt>
                <c:pt idx="9">
                  <c:v>0.21422186280446928</c:v>
                </c:pt>
                <c:pt idx="10">
                  <c:v>0.21419341479123363</c:v>
                </c:pt>
                <c:pt idx="11">
                  <c:v>0.21366746238895676</c:v>
                </c:pt>
                <c:pt idx="12">
                  <c:v>0.21468440438600808</c:v>
                </c:pt>
                <c:pt idx="13">
                  <c:v>0.21503341552623348</c:v>
                </c:pt>
                <c:pt idx="14">
                  <c:v>0.21474848744968245</c:v>
                </c:pt>
                <c:pt idx="15">
                  <c:v>0.2148268240376757</c:v>
                </c:pt>
                <c:pt idx="16">
                  <c:v>0.2152044621432381</c:v>
                </c:pt>
                <c:pt idx="17">
                  <c:v>0.21702600505595174</c:v>
                </c:pt>
                <c:pt idx="18">
                  <c:v>0.21792171646924635</c:v>
                </c:pt>
                <c:pt idx="19">
                  <c:v>0.21859651050395765</c:v>
                </c:pt>
                <c:pt idx="20">
                  <c:v>0.21865398822593385</c:v>
                </c:pt>
                <c:pt idx="21">
                  <c:v>0.21979793883429355</c:v>
                </c:pt>
                <c:pt idx="22">
                  <c:v>0.22172571694195639</c:v>
                </c:pt>
                <c:pt idx="23">
                  <c:v>0.22351674416631839</c:v>
                </c:pt>
                <c:pt idx="24">
                  <c:v>0.22460802830338808</c:v>
                </c:pt>
                <c:pt idx="25">
                  <c:v>0.22454975720684237</c:v>
                </c:pt>
                <c:pt idx="26">
                  <c:v>0.22622086643526471</c:v>
                </c:pt>
                <c:pt idx="27">
                  <c:v>0.2273849501508291</c:v>
                </c:pt>
                <c:pt idx="28">
                  <c:v>0.22981097726400673</c:v>
                </c:pt>
                <c:pt idx="29">
                  <c:v>0.23192455234826245</c:v>
                </c:pt>
                <c:pt idx="30">
                  <c:v>0.2345177178073857</c:v>
                </c:pt>
                <c:pt idx="31">
                  <c:v>0.23666186976432821</c:v>
                </c:pt>
                <c:pt idx="32">
                  <c:v>0.23859091971043675</c:v>
                </c:pt>
                <c:pt idx="33">
                  <c:v>0.24070240752047956</c:v>
                </c:pt>
                <c:pt idx="34">
                  <c:v>0.24340952929892343</c:v>
                </c:pt>
                <c:pt idx="35">
                  <c:v>0.24630972113817376</c:v>
                </c:pt>
                <c:pt idx="36">
                  <c:v>0.2487825024401816</c:v>
                </c:pt>
                <c:pt idx="37">
                  <c:v>0.25202917453966384</c:v>
                </c:pt>
                <c:pt idx="38">
                  <c:v>0.25433197383444173</c:v>
                </c:pt>
                <c:pt idx="39">
                  <c:v>0.25731413760277483</c:v>
                </c:pt>
                <c:pt idx="40">
                  <c:v>0.26030901206278767</c:v>
                </c:pt>
                <c:pt idx="41">
                  <c:v>0.26395426240345798</c:v>
                </c:pt>
                <c:pt idx="42">
                  <c:v>0.26878203399252393</c:v>
                </c:pt>
                <c:pt idx="43">
                  <c:v>0.27401490304789361</c:v>
                </c:pt>
                <c:pt idx="44">
                  <c:v>0.27981588047553102</c:v>
                </c:pt>
                <c:pt idx="45">
                  <c:v>0.28614839499181527</c:v>
                </c:pt>
                <c:pt idx="46">
                  <c:v>0.29346996901914679</c:v>
                </c:pt>
                <c:pt idx="47">
                  <c:v>0.30271833575574197</c:v>
                </c:pt>
                <c:pt idx="48">
                  <c:v>0.31297964830629227</c:v>
                </c:pt>
                <c:pt idx="49">
                  <c:v>0.32548790414703999</c:v>
                </c:pt>
                <c:pt idx="50">
                  <c:v>0.33881223958867657</c:v>
                </c:pt>
                <c:pt idx="51">
                  <c:v>0.35384143013788766</c:v>
                </c:pt>
                <c:pt idx="52">
                  <c:v>0.37044769845868297</c:v>
                </c:pt>
                <c:pt idx="53">
                  <c:v>0.38961668141723876</c:v>
                </c:pt>
                <c:pt idx="54">
                  <c:v>0.41010622417496728</c:v>
                </c:pt>
                <c:pt idx="55">
                  <c:v>0.43023996241365042</c:v>
                </c:pt>
                <c:pt idx="56">
                  <c:v>0.45035925936771509</c:v>
                </c:pt>
                <c:pt idx="57">
                  <c:v>0.46926257087594714</c:v>
                </c:pt>
                <c:pt idx="58">
                  <c:v>0.48680904458263552</c:v>
                </c:pt>
                <c:pt idx="59">
                  <c:v>0.50138623530024196</c:v>
                </c:pt>
                <c:pt idx="60">
                  <c:v>0.5132579044660126</c:v>
                </c:pt>
                <c:pt idx="61">
                  <c:v>0.51987802738202515</c:v>
                </c:pt>
                <c:pt idx="62">
                  <c:v>0.52075589905517594</c:v>
                </c:pt>
                <c:pt idx="63">
                  <c:v>0.51579984623636865</c:v>
                </c:pt>
                <c:pt idx="64">
                  <c:v>0.50527507314521369</c:v>
                </c:pt>
                <c:pt idx="65">
                  <c:v>0.49140295376993148</c:v>
                </c:pt>
                <c:pt idx="66">
                  <c:v>0.47525346769855398</c:v>
                </c:pt>
                <c:pt idx="67">
                  <c:v>0.45748578371834603</c:v>
                </c:pt>
                <c:pt idx="68">
                  <c:v>0.43934029405019809</c:v>
                </c:pt>
                <c:pt idx="69">
                  <c:v>0.42057084084284485</c:v>
                </c:pt>
                <c:pt idx="70">
                  <c:v>0.40120949323688493</c:v>
                </c:pt>
                <c:pt idx="71">
                  <c:v>0.38432344016675507</c:v>
                </c:pt>
                <c:pt idx="72">
                  <c:v>0.36950093499335568</c:v>
                </c:pt>
                <c:pt idx="73">
                  <c:v>0.35639929380770297</c:v>
                </c:pt>
                <c:pt idx="74">
                  <c:v>0.34541920357189737</c:v>
                </c:pt>
                <c:pt idx="75">
                  <c:v>0.33555547590529033</c:v>
                </c:pt>
                <c:pt idx="76">
                  <c:v>0.32744960282327501</c:v>
                </c:pt>
                <c:pt idx="77">
                  <c:v>0.32080839478110595</c:v>
                </c:pt>
                <c:pt idx="78">
                  <c:v>0.3153610670167743</c:v>
                </c:pt>
                <c:pt idx="79">
                  <c:v>0.31077996273616443</c:v>
                </c:pt>
                <c:pt idx="80">
                  <c:v>0.30756731148584981</c:v>
                </c:pt>
                <c:pt idx="81">
                  <c:v>0.30443077296381443</c:v>
                </c:pt>
                <c:pt idx="82">
                  <c:v>0.30284042902642389</c:v>
                </c:pt>
                <c:pt idx="83">
                  <c:v>0.30069137801181978</c:v>
                </c:pt>
                <c:pt idx="84">
                  <c:v>0.29924437824978728</c:v>
                </c:pt>
                <c:pt idx="85">
                  <c:v>0.29851836437907286</c:v>
                </c:pt>
                <c:pt idx="86">
                  <c:v>0.29853563632649521</c:v>
                </c:pt>
                <c:pt idx="87">
                  <c:v>0.29859609355244421</c:v>
                </c:pt>
                <c:pt idx="88">
                  <c:v>0.29751776490767801</c:v>
                </c:pt>
                <c:pt idx="89">
                  <c:v>0.29712161294050116</c:v>
                </c:pt>
                <c:pt idx="90">
                  <c:v>0.29631320697035529</c:v>
                </c:pt>
                <c:pt idx="91">
                  <c:v>0.2957293392515436</c:v>
                </c:pt>
                <c:pt idx="92">
                  <c:v>0.29561780680331068</c:v>
                </c:pt>
                <c:pt idx="93">
                  <c:v>0.29487213369553045</c:v>
                </c:pt>
                <c:pt idx="94">
                  <c:v>0.29511198075277634</c:v>
                </c:pt>
                <c:pt idx="95">
                  <c:v>0.2947779442946164</c:v>
                </c:pt>
                <c:pt idx="96">
                  <c:v>0.29524909570932889</c:v>
                </c:pt>
                <c:pt idx="97">
                  <c:v>0.29580657080584521</c:v>
                </c:pt>
                <c:pt idx="98">
                  <c:v>0.29673442231988811</c:v>
                </c:pt>
                <c:pt idx="99">
                  <c:v>0.29815581206845987</c:v>
                </c:pt>
                <c:pt idx="100">
                  <c:v>0.29829389154880692</c:v>
                </c:pt>
                <c:pt idx="101">
                  <c:v>0.29861336859150384</c:v>
                </c:pt>
                <c:pt idx="102">
                  <c:v>0.29953858640196052</c:v>
                </c:pt>
                <c:pt idx="103">
                  <c:v>0.29942607151418338</c:v>
                </c:pt>
                <c:pt idx="104">
                  <c:v>0.29990229538694618</c:v>
                </c:pt>
                <c:pt idx="105">
                  <c:v>0.3001102659317576</c:v>
                </c:pt>
                <c:pt idx="106">
                  <c:v>0.2998503183080854</c:v>
                </c:pt>
                <c:pt idx="107">
                  <c:v>0.29972906264356314</c:v>
                </c:pt>
                <c:pt idx="108">
                  <c:v>0.30047445419788193</c:v>
                </c:pt>
                <c:pt idx="109">
                  <c:v>0.30129065055741316</c:v>
                </c:pt>
                <c:pt idx="110">
                  <c:v>0.30100393877676584</c:v>
                </c:pt>
                <c:pt idx="111">
                  <c:v>0.30086499510897824</c:v>
                </c:pt>
                <c:pt idx="112">
                  <c:v>0.3004657794986057</c:v>
                </c:pt>
                <c:pt idx="113">
                  <c:v>0.30021428856265092</c:v>
                </c:pt>
                <c:pt idx="114">
                  <c:v>0.30020561905837567</c:v>
                </c:pt>
                <c:pt idx="115">
                  <c:v>0.30067402011885569</c:v>
                </c:pt>
                <c:pt idx="116">
                  <c:v>0.30066534143252704</c:v>
                </c:pt>
                <c:pt idx="117">
                  <c:v>0.30043975644035109</c:v>
                </c:pt>
                <c:pt idx="118">
                  <c:v>0.29946934302140826</c:v>
                </c:pt>
                <c:pt idx="119">
                  <c:v>0.2997723643517502</c:v>
                </c:pt>
                <c:pt idx="120">
                  <c:v>0.2998503183080854</c:v>
                </c:pt>
              </c:numCache>
            </c:numRef>
          </c:yVal>
          <c:smooth val="1"/>
          <c:extLst>
            <c:ext xmlns:c16="http://schemas.microsoft.com/office/drawing/2014/chart" uri="{C3380CC4-5D6E-409C-BE32-E72D297353CC}">
              <c16:uniqueId val="{00000000-70C3-40E7-AB69-10501EEB7AC2}"/>
            </c:ext>
          </c:extLst>
        </c:ser>
        <c:ser>
          <c:idx val="1"/>
          <c:order val="1"/>
          <c:tx>
            <c:v>Pico 2 - CAL1</c:v>
          </c:tx>
          <c:spPr>
            <a:ln>
              <a:solidFill>
                <a:srgbClr val="FF0000"/>
              </a:solidFill>
            </a:ln>
          </c:spPr>
          <c:marker>
            <c:symbol val="none"/>
          </c:marker>
          <c:trendline>
            <c:trendlineType val="poly"/>
            <c:order val="6"/>
            <c:dispRSqr val="1"/>
            <c:dispEq val="1"/>
            <c:trendlineLbl>
              <c:layout>
                <c:manualLayout>
                  <c:x val="9.9071207430340563E-2"/>
                  <c:y val="-0.28457304078410295"/>
                </c:manualLayout>
              </c:layout>
              <c:numFmt formatCode="0.000000000000000E+00" sourceLinked="0"/>
            </c:trendlineLbl>
          </c:trendline>
          <c:xVal>
            <c:numRef>
              <c:f>'Registro Tratado'!$B$311:$B$317</c:f>
              <c:numCache>
                <c:formatCode>0.0</c:formatCode>
                <c:ptCount val="7"/>
                <c:pt idx="0">
                  <c:v>282</c:v>
                </c:pt>
                <c:pt idx="1">
                  <c:v>281</c:v>
                </c:pt>
                <c:pt idx="2">
                  <c:v>280</c:v>
                </c:pt>
                <c:pt idx="3">
                  <c:v>279</c:v>
                </c:pt>
                <c:pt idx="4">
                  <c:v>278</c:v>
                </c:pt>
                <c:pt idx="5">
                  <c:v>277</c:v>
                </c:pt>
                <c:pt idx="6">
                  <c:v>276</c:v>
                </c:pt>
              </c:numCache>
            </c:numRef>
          </c:xVal>
          <c:yVal>
            <c:numRef>
              <c:f>'Registro Tratado'!$C$311:$C$317</c:f>
              <c:numCache>
                <c:formatCode>0.000</c:formatCode>
                <c:ptCount val="7"/>
                <c:pt idx="0">
                  <c:v>0.253</c:v>
                </c:pt>
                <c:pt idx="1">
                  <c:v>0.28799999999999998</c:v>
                </c:pt>
                <c:pt idx="2">
                  <c:v>0.315</c:v>
                </c:pt>
                <c:pt idx="3">
                  <c:v>0.32</c:v>
                </c:pt>
                <c:pt idx="4">
                  <c:v>0.31</c:v>
                </c:pt>
                <c:pt idx="5">
                  <c:v>0.29299999999999998</c:v>
                </c:pt>
                <c:pt idx="6">
                  <c:v>0.28000000000000003</c:v>
                </c:pt>
              </c:numCache>
            </c:numRef>
          </c:yVal>
          <c:smooth val="1"/>
          <c:extLst>
            <c:ext xmlns:c16="http://schemas.microsoft.com/office/drawing/2014/chart" uri="{C3380CC4-5D6E-409C-BE32-E72D297353CC}">
              <c16:uniqueId val="{00000001-70C3-40E7-AB69-10501EEB7AC2}"/>
            </c:ext>
          </c:extLst>
        </c:ser>
        <c:ser>
          <c:idx val="2"/>
          <c:order val="2"/>
          <c:tx>
            <c:v>Pico 2 - Largura de banda</c:v>
          </c:tx>
          <c:spPr>
            <a:ln w="15875">
              <a:solidFill>
                <a:srgbClr val="FFC000"/>
              </a:solidFill>
            </a:ln>
          </c:spPr>
          <c:marker>
            <c:symbol val="none"/>
          </c:marker>
          <c:xVal>
            <c:numRef>
              <c:f>'Registro Tratado'!$AH$304:$CP$304</c:f>
              <c:numCache>
                <c:formatCode>0.0</c:formatCode>
                <c:ptCount val="61"/>
                <c:pt idx="0">
                  <c:v>273.5</c:v>
                </c:pt>
                <c:pt idx="1">
                  <c:v>273.7</c:v>
                </c:pt>
                <c:pt idx="2">
                  <c:v>273.89999999999998</c:v>
                </c:pt>
                <c:pt idx="3">
                  <c:v>274.09999999999997</c:v>
                </c:pt>
                <c:pt idx="4">
                  <c:v>274.29999999999995</c:v>
                </c:pt>
                <c:pt idx="5">
                  <c:v>274.49999999999994</c:v>
                </c:pt>
                <c:pt idx="6">
                  <c:v>274.69999999999993</c:v>
                </c:pt>
                <c:pt idx="7">
                  <c:v>274.89999999999992</c:v>
                </c:pt>
                <c:pt idx="8">
                  <c:v>275.09999999999991</c:v>
                </c:pt>
                <c:pt idx="9">
                  <c:v>275.2999999999999</c:v>
                </c:pt>
                <c:pt idx="10">
                  <c:v>275.49999999999989</c:v>
                </c:pt>
                <c:pt idx="11">
                  <c:v>275.69999999999987</c:v>
                </c:pt>
                <c:pt idx="12">
                  <c:v>275.89999999999986</c:v>
                </c:pt>
                <c:pt idx="13">
                  <c:v>276.09999999999985</c:v>
                </c:pt>
                <c:pt idx="14">
                  <c:v>276.29999999999984</c:v>
                </c:pt>
                <c:pt idx="15">
                  <c:v>276.49999999999983</c:v>
                </c:pt>
                <c:pt idx="16">
                  <c:v>276.69999999999982</c:v>
                </c:pt>
                <c:pt idx="17">
                  <c:v>276.89999999999981</c:v>
                </c:pt>
                <c:pt idx="18">
                  <c:v>277.0999999999998</c:v>
                </c:pt>
                <c:pt idx="19">
                  <c:v>277.29999999999978</c:v>
                </c:pt>
                <c:pt idx="20">
                  <c:v>277.49999999999977</c:v>
                </c:pt>
                <c:pt idx="21">
                  <c:v>277.69999999999976</c:v>
                </c:pt>
                <c:pt idx="22">
                  <c:v>277.89999999999975</c:v>
                </c:pt>
                <c:pt idx="23">
                  <c:v>278.09999999999974</c:v>
                </c:pt>
                <c:pt idx="24">
                  <c:v>278.29999999999973</c:v>
                </c:pt>
                <c:pt idx="25">
                  <c:v>278.49999999999972</c:v>
                </c:pt>
                <c:pt idx="26">
                  <c:v>278.6999999999997</c:v>
                </c:pt>
                <c:pt idx="27">
                  <c:v>278.89999999999969</c:v>
                </c:pt>
                <c:pt idx="28">
                  <c:v>279.09999999999968</c:v>
                </c:pt>
                <c:pt idx="29">
                  <c:v>279.29999999999967</c:v>
                </c:pt>
                <c:pt idx="30">
                  <c:v>279.49999999999966</c:v>
                </c:pt>
                <c:pt idx="31">
                  <c:v>279.69999999999965</c:v>
                </c:pt>
                <c:pt idx="32">
                  <c:v>279.89999999999964</c:v>
                </c:pt>
                <c:pt idx="33">
                  <c:v>280.09999999999962</c:v>
                </c:pt>
                <c:pt idx="34">
                  <c:v>280.29999999999961</c:v>
                </c:pt>
                <c:pt idx="35">
                  <c:v>280.4999999999996</c:v>
                </c:pt>
                <c:pt idx="36">
                  <c:v>280.69999999999959</c:v>
                </c:pt>
                <c:pt idx="37">
                  <c:v>280.89999999999958</c:v>
                </c:pt>
                <c:pt idx="38">
                  <c:v>281.09999999999957</c:v>
                </c:pt>
                <c:pt idx="39">
                  <c:v>281.29999999999956</c:v>
                </c:pt>
                <c:pt idx="40">
                  <c:v>281.49999999999955</c:v>
                </c:pt>
                <c:pt idx="41">
                  <c:v>281.69999999999953</c:v>
                </c:pt>
                <c:pt idx="42">
                  <c:v>281.89999999999952</c:v>
                </c:pt>
                <c:pt idx="43">
                  <c:v>282.09999999999951</c:v>
                </c:pt>
                <c:pt idx="44">
                  <c:v>282.2999999999995</c:v>
                </c:pt>
                <c:pt idx="45">
                  <c:v>282.49999999999949</c:v>
                </c:pt>
                <c:pt idx="46">
                  <c:v>282.69999999999948</c:v>
                </c:pt>
                <c:pt idx="47">
                  <c:v>282.89999999999947</c:v>
                </c:pt>
                <c:pt idx="48">
                  <c:v>283.09999999999945</c:v>
                </c:pt>
                <c:pt idx="49">
                  <c:v>283.29999999999944</c:v>
                </c:pt>
                <c:pt idx="50">
                  <c:v>283.49999999999943</c:v>
                </c:pt>
                <c:pt idx="51">
                  <c:v>283.69999999999942</c:v>
                </c:pt>
                <c:pt idx="52">
                  <c:v>283.89999999999941</c:v>
                </c:pt>
                <c:pt idx="53">
                  <c:v>284.0999999999994</c:v>
                </c:pt>
                <c:pt idx="54">
                  <c:v>284.29999999999939</c:v>
                </c:pt>
                <c:pt idx="55">
                  <c:v>284.49999999999937</c:v>
                </c:pt>
                <c:pt idx="56">
                  <c:v>284.69999999999936</c:v>
                </c:pt>
                <c:pt idx="57">
                  <c:v>284.89999999999935</c:v>
                </c:pt>
                <c:pt idx="58">
                  <c:v>285.09999999999934</c:v>
                </c:pt>
                <c:pt idx="59">
                  <c:v>285.29999999999933</c:v>
                </c:pt>
                <c:pt idx="60">
                  <c:v>285.49999999999932</c:v>
                </c:pt>
              </c:numCache>
            </c:numRef>
          </c:xVal>
          <c:yVal>
            <c:numRef>
              <c:f>'Registro Tratado'!$AH$305:$CP$305</c:f>
              <c:numCache>
                <c:formatCode>0.0000</c:formatCode>
                <c:ptCount val="61"/>
                <c:pt idx="0">
                  <c:v>0.40965000000000001</c:v>
                </c:pt>
                <c:pt idx="1">
                  <c:v>0.40965000000000001</c:v>
                </c:pt>
                <c:pt idx="2">
                  <c:v>0.40965000000000001</c:v>
                </c:pt>
                <c:pt idx="3">
                  <c:v>0.40965000000000001</c:v>
                </c:pt>
                <c:pt idx="4">
                  <c:v>0.40965000000000001</c:v>
                </c:pt>
                <c:pt idx="5">
                  <c:v>0.40965000000000001</c:v>
                </c:pt>
                <c:pt idx="6">
                  <c:v>0.40965000000000001</c:v>
                </c:pt>
                <c:pt idx="7">
                  <c:v>0.40965000000000001</c:v>
                </c:pt>
                <c:pt idx="8">
                  <c:v>0.40965000000000001</c:v>
                </c:pt>
                <c:pt idx="9">
                  <c:v>0.40965000000000001</c:v>
                </c:pt>
                <c:pt idx="10">
                  <c:v>0.40965000000000001</c:v>
                </c:pt>
                <c:pt idx="11">
                  <c:v>0.40965000000000001</c:v>
                </c:pt>
                <c:pt idx="12">
                  <c:v>0.40965000000000001</c:v>
                </c:pt>
                <c:pt idx="13">
                  <c:v>0.40965000000000001</c:v>
                </c:pt>
                <c:pt idx="14">
                  <c:v>0.40965000000000001</c:v>
                </c:pt>
                <c:pt idx="15">
                  <c:v>0.40965000000000001</c:v>
                </c:pt>
                <c:pt idx="16">
                  <c:v>0.40965000000000001</c:v>
                </c:pt>
                <c:pt idx="17">
                  <c:v>0.40965000000000001</c:v>
                </c:pt>
                <c:pt idx="18">
                  <c:v>0.40965000000000001</c:v>
                </c:pt>
                <c:pt idx="19">
                  <c:v>0.40965000000000001</c:v>
                </c:pt>
                <c:pt idx="20">
                  <c:v>0.40965000000000001</c:v>
                </c:pt>
                <c:pt idx="21">
                  <c:v>0.40965000000000001</c:v>
                </c:pt>
                <c:pt idx="22">
                  <c:v>0.40965000000000001</c:v>
                </c:pt>
                <c:pt idx="23">
                  <c:v>0.40965000000000001</c:v>
                </c:pt>
                <c:pt idx="24">
                  <c:v>0.40965000000000001</c:v>
                </c:pt>
                <c:pt idx="25">
                  <c:v>0.40965000000000001</c:v>
                </c:pt>
                <c:pt idx="26">
                  <c:v>0.40965000000000001</c:v>
                </c:pt>
                <c:pt idx="27">
                  <c:v>0.40965000000000001</c:v>
                </c:pt>
                <c:pt idx="28">
                  <c:v>0.40965000000000001</c:v>
                </c:pt>
                <c:pt idx="29">
                  <c:v>0.40965000000000001</c:v>
                </c:pt>
                <c:pt idx="30">
                  <c:v>0.40965000000000001</c:v>
                </c:pt>
                <c:pt idx="31">
                  <c:v>0.40965000000000001</c:v>
                </c:pt>
                <c:pt idx="32">
                  <c:v>0.40965000000000001</c:v>
                </c:pt>
                <c:pt idx="33">
                  <c:v>0.40965000000000001</c:v>
                </c:pt>
                <c:pt idx="34">
                  <c:v>0.40965000000000001</c:v>
                </c:pt>
                <c:pt idx="35">
                  <c:v>0.40965000000000001</c:v>
                </c:pt>
                <c:pt idx="36">
                  <c:v>0.40965000000000001</c:v>
                </c:pt>
                <c:pt idx="37">
                  <c:v>0.40965000000000001</c:v>
                </c:pt>
                <c:pt idx="38">
                  <c:v>0.40965000000000001</c:v>
                </c:pt>
                <c:pt idx="39">
                  <c:v>0.40965000000000001</c:v>
                </c:pt>
                <c:pt idx="40">
                  <c:v>0.40965000000000001</c:v>
                </c:pt>
                <c:pt idx="41">
                  <c:v>0.40965000000000001</c:v>
                </c:pt>
                <c:pt idx="42">
                  <c:v>0.40965000000000001</c:v>
                </c:pt>
                <c:pt idx="43">
                  <c:v>0.40965000000000001</c:v>
                </c:pt>
                <c:pt idx="44">
                  <c:v>0.40965000000000001</c:v>
                </c:pt>
                <c:pt idx="45">
                  <c:v>0.40965000000000001</c:v>
                </c:pt>
                <c:pt idx="46">
                  <c:v>0.40965000000000001</c:v>
                </c:pt>
                <c:pt idx="47">
                  <c:v>0.40965000000000001</c:v>
                </c:pt>
                <c:pt idx="48">
                  <c:v>0.40965000000000001</c:v>
                </c:pt>
                <c:pt idx="49">
                  <c:v>0.40965000000000001</c:v>
                </c:pt>
                <c:pt idx="50">
                  <c:v>0.40965000000000001</c:v>
                </c:pt>
                <c:pt idx="51">
                  <c:v>0.40965000000000001</c:v>
                </c:pt>
                <c:pt idx="52">
                  <c:v>0.40965000000000001</c:v>
                </c:pt>
                <c:pt idx="53">
                  <c:v>0.40965000000000001</c:v>
                </c:pt>
                <c:pt idx="54">
                  <c:v>0.40965000000000001</c:v>
                </c:pt>
                <c:pt idx="55">
                  <c:v>0.40965000000000001</c:v>
                </c:pt>
                <c:pt idx="56">
                  <c:v>0.40965000000000001</c:v>
                </c:pt>
                <c:pt idx="57">
                  <c:v>0.40965000000000001</c:v>
                </c:pt>
                <c:pt idx="58">
                  <c:v>0.40965000000000001</c:v>
                </c:pt>
                <c:pt idx="59">
                  <c:v>0.40965000000000001</c:v>
                </c:pt>
                <c:pt idx="60">
                  <c:v>0.40965000000000001</c:v>
                </c:pt>
              </c:numCache>
            </c:numRef>
          </c:yVal>
          <c:smooth val="1"/>
          <c:extLst>
            <c:ext xmlns:c16="http://schemas.microsoft.com/office/drawing/2014/chart" uri="{C3380CC4-5D6E-409C-BE32-E72D297353CC}">
              <c16:uniqueId val="{00000002-70C3-40E7-AB69-10501EEB7AC2}"/>
            </c:ext>
          </c:extLst>
        </c:ser>
        <c:ser>
          <c:idx val="3"/>
          <c:order val="3"/>
          <c:tx>
            <c:v>Pico 2 - CAL 2</c:v>
          </c:tx>
          <c:spPr>
            <a:ln>
              <a:solidFill>
                <a:srgbClr val="00B050"/>
              </a:solidFill>
            </a:ln>
          </c:spPr>
          <c:marker>
            <c:symbol val="none"/>
          </c:marker>
          <c:trendline>
            <c:trendlineType val="poly"/>
            <c:order val="6"/>
            <c:dispRSqr val="1"/>
            <c:dispEq val="1"/>
            <c:trendlineLbl>
              <c:layout>
                <c:manualLayout>
                  <c:x val="0.10319917440660475"/>
                  <c:y val="8.0884917584728974E-2"/>
                </c:manualLayout>
              </c:layout>
              <c:numFmt formatCode="0.000000000000000E+00" sourceLinked="0"/>
            </c:trendlineLbl>
          </c:trendline>
          <c:xVal>
            <c:numRef>
              <c:f>'Registro Tratado'!$E$311:$E$317</c:f>
              <c:numCache>
                <c:formatCode>0.0</c:formatCode>
                <c:ptCount val="7"/>
                <c:pt idx="0">
                  <c:v>280.5</c:v>
                </c:pt>
                <c:pt idx="1">
                  <c:v>280</c:v>
                </c:pt>
                <c:pt idx="2">
                  <c:v>279.5</c:v>
                </c:pt>
                <c:pt idx="3">
                  <c:v>279</c:v>
                </c:pt>
                <c:pt idx="4">
                  <c:v>278.5</c:v>
                </c:pt>
                <c:pt idx="5">
                  <c:v>278</c:v>
                </c:pt>
                <c:pt idx="6">
                  <c:v>277.5</c:v>
                </c:pt>
              </c:numCache>
            </c:numRef>
          </c:xVal>
          <c:yVal>
            <c:numRef>
              <c:f>'Registro Tratado'!$F$311:$F$317</c:f>
              <c:numCache>
                <c:formatCode>0.000</c:formatCode>
                <c:ptCount val="7"/>
                <c:pt idx="0">
                  <c:v>0.26400000000000001</c:v>
                </c:pt>
                <c:pt idx="1">
                  <c:v>0.29699999999999999</c:v>
                </c:pt>
                <c:pt idx="2">
                  <c:v>0.31900000000000001</c:v>
                </c:pt>
                <c:pt idx="3">
                  <c:v>0.31900000000000001</c:v>
                </c:pt>
                <c:pt idx="4">
                  <c:v>0.30599999999999999</c:v>
                </c:pt>
                <c:pt idx="5">
                  <c:v>0.28899999999999998</c:v>
                </c:pt>
                <c:pt idx="6">
                  <c:v>0.27900000000000003</c:v>
                </c:pt>
              </c:numCache>
            </c:numRef>
          </c:yVal>
          <c:smooth val="1"/>
          <c:extLst>
            <c:ext xmlns:c16="http://schemas.microsoft.com/office/drawing/2014/chart" uri="{C3380CC4-5D6E-409C-BE32-E72D297353CC}">
              <c16:uniqueId val="{00000003-70C3-40E7-AB69-10501EEB7AC2}"/>
            </c:ext>
          </c:extLst>
        </c:ser>
        <c:dLbls>
          <c:showLegendKey val="0"/>
          <c:showVal val="0"/>
          <c:showCatName val="0"/>
          <c:showSerName val="0"/>
          <c:showPercent val="0"/>
          <c:showBubbleSize val="0"/>
        </c:dLbls>
        <c:axId val="79487744"/>
        <c:axId val="79489664"/>
      </c:scatterChart>
      <c:valAx>
        <c:axId val="79487744"/>
        <c:scaling>
          <c:orientation val="minMax"/>
          <c:max val="285.5"/>
          <c:min val="273.5"/>
        </c:scaling>
        <c:delete val="0"/>
        <c:axPos val="t"/>
        <c:title>
          <c:tx>
            <c:rich>
              <a:bodyPr/>
              <a:lstStyle/>
              <a:p>
                <a:pPr>
                  <a:defRPr sz="1000" b="1" i="0" u="none" strike="noStrike" baseline="0">
                    <a:solidFill>
                      <a:srgbClr val="000000"/>
                    </a:solidFill>
                    <a:latin typeface="Arial"/>
                    <a:ea typeface="Arial"/>
                    <a:cs typeface="Arial"/>
                  </a:defRPr>
                </a:pPr>
                <a:r>
                  <a:rPr lang="pt-BR"/>
                  <a:t>Comprimento</a:t>
                </a:r>
                <a:r>
                  <a:rPr lang="pt-BR" baseline="0"/>
                  <a:t> de Onda</a:t>
                </a:r>
                <a:r>
                  <a:rPr lang="pt-BR"/>
                  <a:t> [nm]</a:t>
                </a:r>
              </a:p>
            </c:rich>
          </c:tx>
          <c:layout>
            <c:manualLayout>
              <c:xMode val="edge"/>
              <c:yMode val="edge"/>
              <c:x val="0.43979123805746739"/>
              <c:y val="0.89920390254248539"/>
            </c:manualLayout>
          </c:layout>
          <c:overlay val="0"/>
          <c:spPr>
            <a:noFill/>
            <a:ln w="25400">
              <a:noFill/>
            </a:ln>
          </c:spPr>
        </c:title>
        <c:numFmt formatCode="0.0" sourceLinked="0"/>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pt-BR"/>
          </a:p>
        </c:txPr>
        <c:crossAx val="79489664"/>
        <c:crosses val="max"/>
        <c:crossBetween val="midCat"/>
        <c:majorUnit val="1"/>
        <c:minorUnit val="0.2"/>
      </c:valAx>
      <c:valAx>
        <c:axId val="79489664"/>
        <c:scaling>
          <c:orientation val="minMax"/>
          <c:max val="0.53"/>
          <c:min val="0.21000000000000008"/>
        </c:scaling>
        <c:delete val="0"/>
        <c:axPos val="l"/>
        <c:majorGridlines>
          <c:spPr>
            <a:ln w="3175">
              <a:solidFill>
                <a:schemeClr val="bg1">
                  <a:lumMod val="65000"/>
                </a:schemeClr>
              </a:solidFill>
              <a:prstDash val="solid"/>
            </a:ln>
          </c:spPr>
        </c:majorGridlines>
        <c:title>
          <c:tx>
            <c:rich>
              <a:bodyPr/>
              <a:lstStyle/>
              <a:p>
                <a:pPr>
                  <a:defRPr sz="1000" b="1" i="0" u="none" strike="noStrike" baseline="0">
                    <a:solidFill>
                      <a:srgbClr val="000000"/>
                    </a:solidFill>
                    <a:latin typeface="Arial"/>
                    <a:ea typeface="Arial"/>
                    <a:cs typeface="Arial"/>
                  </a:defRPr>
                </a:pPr>
                <a:r>
                  <a:rPr lang="pt-BR"/>
                  <a:t>Absorbância </a:t>
                </a:r>
              </a:p>
            </c:rich>
          </c:tx>
          <c:layout>
            <c:manualLayout>
              <c:xMode val="edge"/>
              <c:yMode val="edge"/>
              <c:x val="1.4464127978496838E-2"/>
              <c:y val="0.3447447528075383"/>
            </c:manualLayout>
          </c:layout>
          <c:overlay val="0"/>
          <c:spPr>
            <a:noFill/>
            <a:ln w="25400">
              <a:noFill/>
            </a:ln>
          </c:spPr>
        </c:title>
        <c:numFmt formatCode="0.00" sourceLinked="0"/>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pt-BR"/>
          </a:p>
        </c:txPr>
        <c:crossAx val="79487744"/>
        <c:crossesAt val="273.5"/>
        <c:crossBetween val="midCat"/>
        <c:majorUnit val="2.0000000000000011E-2"/>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pt-BR"/>
    </a:p>
  </c:txPr>
  <c:printSettings>
    <c:headerFooter alignWithMargins="0"/>
    <c:pageMargins b="0.98425196899999978" l="0.78740157499999996" r="0.78740157499999996" t="0.98425196899999978" header="0.5" footer="0.5"/>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BR" sz="1100" b="1"/>
              <a:t>Pico 1  -  241,5 nm</a:t>
            </a:r>
          </a:p>
        </c:rich>
      </c:tx>
      <c:layout>
        <c:manualLayout>
          <c:xMode val="edge"/>
          <c:yMode val="edge"/>
          <c:x val="0.54164327045688065"/>
          <c:y val="0.1408385163975715"/>
        </c:manualLayout>
      </c:layout>
      <c:overlay val="0"/>
    </c:title>
    <c:autoTitleDeleted val="0"/>
    <c:plotArea>
      <c:layout>
        <c:manualLayout>
          <c:layoutTarget val="inner"/>
          <c:xMode val="edge"/>
          <c:yMode val="edge"/>
          <c:x val="7.4030397363120337E-2"/>
          <c:y val="8.5098873026628372E-2"/>
          <c:w val="0.81675531869566498"/>
          <c:h val="0.74801061007957614"/>
        </c:manualLayout>
      </c:layout>
      <c:scatterChart>
        <c:scatterStyle val="smoothMarker"/>
        <c:varyColors val="0"/>
        <c:ser>
          <c:idx val="0"/>
          <c:order val="0"/>
          <c:tx>
            <c:v>Pico 1</c:v>
          </c:tx>
          <c:spPr>
            <a:ln w="12700">
              <a:solidFill>
                <a:srgbClr val="000080"/>
              </a:solidFill>
              <a:prstDash val="solid"/>
            </a:ln>
          </c:spPr>
          <c:marker>
            <c:symbol val="none"/>
          </c:marker>
          <c:xVal>
            <c:numRef>
              <c:f>'Registro Tratado'!$AD$4330:$AD$4450</c:f>
              <c:numCache>
                <c:formatCode>0.0</c:formatCode>
                <c:ptCount val="121"/>
                <c:pt idx="0">
                  <c:v>247.5</c:v>
                </c:pt>
                <c:pt idx="1">
                  <c:v>247.4</c:v>
                </c:pt>
                <c:pt idx="2">
                  <c:v>247.3</c:v>
                </c:pt>
                <c:pt idx="3">
                  <c:v>247.2</c:v>
                </c:pt>
                <c:pt idx="4">
                  <c:v>247.1</c:v>
                </c:pt>
                <c:pt idx="5">
                  <c:v>247</c:v>
                </c:pt>
                <c:pt idx="6">
                  <c:v>246.9</c:v>
                </c:pt>
                <c:pt idx="7">
                  <c:v>246.8</c:v>
                </c:pt>
                <c:pt idx="8">
                  <c:v>246.7</c:v>
                </c:pt>
                <c:pt idx="9">
                  <c:v>246.6</c:v>
                </c:pt>
                <c:pt idx="10">
                  <c:v>246.5</c:v>
                </c:pt>
                <c:pt idx="11">
                  <c:v>246.4</c:v>
                </c:pt>
                <c:pt idx="12">
                  <c:v>246.3</c:v>
                </c:pt>
                <c:pt idx="13">
                  <c:v>246.2</c:v>
                </c:pt>
                <c:pt idx="14">
                  <c:v>246.1</c:v>
                </c:pt>
                <c:pt idx="15">
                  <c:v>246</c:v>
                </c:pt>
                <c:pt idx="16">
                  <c:v>245.9</c:v>
                </c:pt>
                <c:pt idx="17">
                  <c:v>245.8</c:v>
                </c:pt>
                <c:pt idx="18">
                  <c:v>245.7</c:v>
                </c:pt>
                <c:pt idx="19">
                  <c:v>245.6</c:v>
                </c:pt>
                <c:pt idx="20">
                  <c:v>245.5</c:v>
                </c:pt>
                <c:pt idx="21">
                  <c:v>245.4</c:v>
                </c:pt>
                <c:pt idx="22">
                  <c:v>245.3</c:v>
                </c:pt>
                <c:pt idx="23">
                  <c:v>245.2</c:v>
                </c:pt>
                <c:pt idx="24">
                  <c:v>245.1</c:v>
                </c:pt>
                <c:pt idx="25">
                  <c:v>245</c:v>
                </c:pt>
                <c:pt idx="26">
                  <c:v>244.9</c:v>
                </c:pt>
                <c:pt idx="27">
                  <c:v>244.8</c:v>
                </c:pt>
                <c:pt idx="28">
                  <c:v>244.7</c:v>
                </c:pt>
                <c:pt idx="29">
                  <c:v>244.6</c:v>
                </c:pt>
                <c:pt idx="30">
                  <c:v>244.5</c:v>
                </c:pt>
                <c:pt idx="31">
                  <c:v>244.4</c:v>
                </c:pt>
                <c:pt idx="32">
                  <c:v>244.3</c:v>
                </c:pt>
                <c:pt idx="33">
                  <c:v>244.2</c:v>
                </c:pt>
                <c:pt idx="34">
                  <c:v>244.1</c:v>
                </c:pt>
                <c:pt idx="35">
                  <c:v>244</c:v>
                </c:pt>
                <c:pt idx="36">
                  <c:v>243.9</c:v>
                </c:pt>
                <c:pt idx="37">
                  <c:v>243.8</c:v>
                </c:pt>
                <c:pt idx="38">
                  <c:v>243.7</c:v>
                </c:pt>
                <c:pt idx="39">
                  <c:v>243.6</c:v>
                </c:pt>
                <c:pt idx="40">
                  <c:v>243.5</c:v>
                </c:pt>
                <c:pt idx="41">
                  <c:v>243.4</c:v>
                </c:pt>
                <c:pt idx="42">
                  <c:v>243.3</c:v>
                </c:pt>
                <c:pt idx="43">
                  <c:v>243.2</c:v>
                </c:pt>
                <c:pt idx="44">
                  <c:v>243.1</c:v>
                </c:pt>
                <c:pt idx="45">
                  <c:v>243</c:v>
                </c:pt>
                <c:pt idx="46">
                  <c:v>242.9</c:v>
                </c:pt>
                <c:pt idx="47">
                  <c:v>242.8</c:v>
                </c:pt>
                <c:pt idx="48">
                  <c:v>242.7</c:v>
                </c:pt>
                <c:pt idx="49">
                  <c:v>242.6</c:v>
                </c:pt>
                <c:pt idx="50">
                  <c:v>242.5</c:v>
                </c:pt>
                <c:pt idx="51">
                  <c:v>242.4</c:v>
                </c:pt>
                <c:pt idx="52">
                  <c:v>242.3</c:v>
                </c:pt>
                <c:pt idx="53">
                  <c:v>242.2</c:v>
                </c:pt>
                <c:pt idx="54">
                  <c:v>242.1</c:v>
                </c:pt>
                <c:pt idx="55">
                  <c:v>242</c:v>
                </c:pt>
                <c:pt idx="56">
                  <c:v>241.9</c:v>
                </c:pt>
                <c:pt idx="57">
                  <c:v>241.8</c:v>
                </c:pt>
                <c:pt idx="58">
                  <c:v>241.7</c:v>
                </c:pt>
                <c:pt idx="59">
                  <c:v>241.6</c:v>
                </c:pt>
                <c:pt idx="60">
                  <c:v>241.5</c:v>
                </c:pt>
                <c:pt idx="61">
                  <c:v>241.4</c:v>
                </c:pt>
                <c:pt idx="62">
                  <c:v>241.3</c:v>
                </c:pt>
                <c:pt idx="63">
                  <c:v>241.2</c:v>
                </c:pt>
                <c:pt idx="64">
                  <c:v>241.1</c:v>
                </c:pt>
                <c:pt idx="65">
                  <c:v>241</c:v>
                </c:pt>
                <c:pt idx="66">
                  <c:v>240.9</c:v>
                </c:pt>
                <c:pt idx="67">
                  <c:v>240.8</c:v>
                </c:pt>
                <c:pt idx="68">
                  <c:v>240.7</c:v>
                </c:pt>
                <c:pt idx="69">
                  <c:v>240.6</c:v>
                </c:pt>
                <c:pt idx="70">
                  <c:v>240.5</c:v>
                </c:pt>
                <c:pt idx="71">
                  <c:v>240.4</c:v>
                </c:pt>
                <c:pt idx="72">
                  <c:v>240.3</c:v>
                </c:pt>
                <c:pt idx="73">
                  <c:v>240.2</c:v>
                </c:pt>
                <c:pt idx="74">
                  <c:v>240.1</c:v>
                </c:pt>
                <c:pt idx="75">
                  <c:v>240</c:v>
                </c:pt>
                <c:pt idx="76">
                  <c:v>239.9</c:v>
                </c:pt>
                <c:pt idx="77">
                  <c:v>239.8</c:v>
                </c:pt>
                <c:pt idx="78">
                  <c:v>239.7</c:v>
                </c:pt>
                <c:pt idx="79">
                  <c:v>239.6</c:v>
                </c:pt>
                <c:pt idx="80">
                  <c:v>239.5</c:v>
                </c:pt>
                <c:pt idx="81">
                  <c:v>239.4</c:v>
                </c:pt>
                <c:pt idx="82">
                  <c:v>239.3</c:v>
                </c:pt>
                <c:pt idx="83">
                  <c:v>239.2</c:v>
                </c:pt>
                <c:pt idx="84">
                  <c:v>239.1</c:v>
                </c:pt>
                <c:pt idx="85">
                  <c:v>239</c:v>
                </c:pt>
                <c:pt idx="86">
                  <c:v>238.9</c:v>
                </c:pt>
                <c:pt idx="87">
                  <c:v>238.8</c:v>
                </c:pt>
                <c:pt idx="88">
                  <c:v>238.7</c:v>
                </c:pt>
                <c:pt idx="89">
                  <c:v>238.6</c:v>
                </c:pt>
                <c:pt idx="90">
                  <c:v>238.5</c:v>
                </c:pt>
                <c:pt idx="91">
                  <c:v>238.4</c:v>
                </c:pt>
                <c:pt idx="92">
                  <c:v>238.3</c:v>
                </c:pt>
                <c:pt idx="93">
                  <c:v>238.2</c:v>
                </c:pt>
                <c:pt idx="94">
                  <c:v>238.1</c:v>
                </c:pt>
                <c:pt idx="95">
                  <c:v>238</c:v>
                </c:pt>
                <c:pt idx="96">
                  <c:v>237.9</c:v>
                </c:pt>
                <c:pt idx="97">
                  <c:v>237.8</c:v>
                </c:pt>
                <c:pt idx="98">
                  <c:v>237.7</c:v>
                </c:pt>
                <c:pt idx="99">
                  <c:v>237.6</c:v>
                </c:pt>
                <c:pt idx="100">
                  <c:v>237.5</c:v>
                </c:pt>
                <c:pt idx="101">
                  <c:v>237.4</c:v>
                </c:pt>
                <c:pt idx="102">
                  <c:v>237.3</c:v>
                </c:pt>
                <c:pt idx="103">
                  <c:v>237.2</c:v>
                </c:pt>
                <c:pt idx="104">
                  <c:v>237.1</c:v>
                </c:pt>
                <c:pt idx="105">
                  <c:v>237</c:v>
                </c:pt>
                <c:pt idx="106">
                  <c:v>236.9</c:v>
                </c:pt>
                <c:pt idx="107">
                  <c:v>236.8</c:v>
                </c:pt>
                <c:pt idx="108">
                  <c:v>236.7</c:v>
                </c:pt>
                <c:pt idx="109">
                  <c:v>236.6</c:v>
                </c:pt>
                <c:pt idx="110">
                  <c:v>236.5</c:v>
                </c:pt>
                <c:pt idx="111">
                  <c:v>236.4</c:v>
                </c:pt>
                <c:pt idx="112">
                  <c:v>236.3</c:v>
                </c:pt>
                <c:pt idx="113">
                  <c:v>236.2</c:v>
                </c:pt>
                <c:pt idx="114">
                  <c:v>236.1</c:v>
                </c:pt>
                <c:pt idx="115">
                  <c:v>236</c:v>
                </c:pt>
                <c:pt idx="116">
                  <c:v>235.9</c:v>
                </c:pt>
                <c:pt idx="117">
                  <c:v>235.8</c:v>
                </c:pt>
                <c:pt idx="118">
                  <c:v>235.7</c:v>
                </c:pt>
                <c:pt idx="119">
                  <c:v>235.6</c:v>
                </c:pt>
                <c:pt idx="120">
                  <c:v>235.5</c:v>
                </c:pt>
              </c:numCache>
            </c:numRef>
          </c:xVal>
          <c:yVal>
            <c:numRef>
              <c:f>'Registro Tratado'!$AF$4330:$AF$4450</c:f>
              <c:numCache>
                <c:formatCode>0.0000</c:formatCode>
                <c:ptCount val="121"/>
                <c:pt idx="0">
                  <c:v>0.60539074089645462</c:v>
                </c:pt>
                <c:pt idx="1">
                  <c:v>0.60677588363870272</c:v>
                </c:pt>
                <c:pt idx="2">
                  <c:v>0.60857085508055586</c:v>
                </c:pt>
                <c:pt idx="3">
                  <c:v>0.61032015678075069</c:v>
                </c:pt>
                <c:pt idx="4">
                  <c:v>0.61143702860192506</c:v>
                </c:pt>
                <c:pt idx="5">
                  <c:v>0.61234327137985778</c:v>
                </c:pt>
                <c:pt idx="6">
                  <c:v>0.6140542872698167</c:v>
                </c:pt>
                <c:pt idx="7">
                  <c:v>0.61548530131434753</c:v>
                </c:pt>
                <c:pt idx="8">
                  <c:v>0.61749667578884926</c:v>
                </c:pt>
                <c:pt idx="9">
                  <c:v>0.61883074872085442</c:v>
                </c:pt>
                <c:pt idx="10">
                  <c:v>0.62064008551236971</c:v>
                </c:pt>
                <c:pt idx="11">
                  <c:v>0.62191112136121329</c:v>
                </c:pt>
                <c:pt idx="12">
                  <c:v>0.62313117836133169</c:v>
                </c:pt>
                <c:pt idx="13">
                  <c:v>0.62510508143301946</c:v>
                </c:pt>
                <c:pt idx="14">
                  <c:v>0.62637089935033163</c:v>
                </c:pt>
                <c:pt idx="15">
                  <c:v>0.62850729142409989</c:v>
                </c:pt>
                <c:pt idx="16">
                  <c:v>0.63054293487362989</c:v>
                </c:pt>
                <c:pt idx="17">
                  <c:v>0.63188054138497096</c:v>
                </c:pt>
                <c:pt idx="18">
                  <c:v>0.63359572250829987</c:v>
                </c:pt>
                <c:pt idx="19">
                  <c:v>0.63544900464602805</c:v>
                </c:pt>
                <c:pt idx="20">
                  <c:v>0.63721603653008585</c:v>
                </c:pt>
                <c:pt idx="21">
                  <c:v>0.6393876550914076</c:v>
                </c:pt>
                <c:pt idx="22">
                  <c:v>0.64229378921535762</c:v>
                </c:pt>
                <c:pt idx="23">
                  <c:v>0.64418464488422922</c:v>
                </c:pt>
                <c:pt idx="24">
                  <c:v>0.64698828896654725</c:v>
                </c:pt>
                <c:pt idx="25">
                  <c:v>0.64884169343597253</c:v>
                </c:pt>
                <c:pt idx="26">
                  <c:v>0.65255288735202877</c:v>
                </c:pt>
                <c:pt idx="27">
                  <c:v>0.65584360636879324</c:v>
                </c:pt>
                <c:pt idx="28">
                  <c:v>0.65961538162985667</c:v>
                </c:pt>
                <c:pt idx="29">
                  <c:v>0.6643816506223944</c:v>
                </c:pt>
                <c:pt idx="30">
                  <c:v>0.66976891228072033</c:v>
                </c:pt>
                <c:pt idx="31">
                  <c:v>0.67505939798509829</c:v>
                </c:pt>
                <c:pt idx="32">
                  <c:v>0.68051917194966272</c:v>
                </c:pt>
                <c:pt idx="33">
                  <c:v>0.68663904875587201</c:v>
                </c:pt>
                <c:pt idx="34">
                  <c:v>0.69428328890863522</c:v>
                </c:pt>
                <c:pt idx="35">
                  <c:v>0.70213010860009817</c:v>
                </c:pt>
                <c:pt idx="36">
                  <c:v>0.70996538863748193</c:v>
                </c:pt>
                <c:pt idx="37">
                  <c:v>0.71719668570827155</c:v>
                </c:pt>
                <c:pt idx="38">
                  <c:v>0.7248960504308033</c:v>
                </c:pt>
                <c:pt idx="39">
                  <c:v>0.73196055006575933</c:v>
                </c:pt>
                <c:pt idx="40">
                  <c:v>0.73959466776017568</c:v>
                </c:pt>
                <c:pt idx="41">
                  <c:v>0.74690441415096842</c:v>
                </c:pt>
                <c:pt idx="42">
                  <c:v>0.75419132321251192</c:v>
                </c:pt>
                <c:pt idx="43">
                  <c:v>0.76130168993701375</c:v>
                </c:pt>
                <c:pt idx="44">
                  <c:v>0.7690914806792355</c:v>
                </c:pt>
                <c:pt idx="45">
                  <c:v>0.77624454634275886</c:v>
                </c:pt>
                <c:pt idx="46">
                  <c:v>0.784309573746797</c:v>
                </c:pt>
                <c:pt idx="47">
                  <c:v>0.79555441856693243</c:v>
                </c:pt>
                <c:pt idx="48">
                  <c:v>0.80958425296670966</c:v>
                </c:pt>
                <c:pt idx="49">
                  <c:v>0.82579477305985283</c:v>
                </c:pt>
                <c:pt idx="50">
                  <c:v>0.84323890169337579</c:v>
                </c:pt>
                <c:pt idx="51">
                  <c:v>0.86464469059122506</c:v>
                </c:pt>
                <c:pt idx="52">
                  <c:v>0.88632398810289992</c:v>
                </c:pt>
                <c:pt idx="53">
                  <c:v>0.91126163472600152</c:v>
                </c:pt>
                <c:pt idx="54">
                  <c:v>0.93794475262464627</c:v>
                </c:pt>
                <c:pt idx="55">
                  <c:v>0.96437017220956112</c:v>
                </c:pt>
                <c:pt idx="56">
                  <c:v>0.98902198782525785</c:v>
                </c:pt>
                <c:pt idx="57">
                  <c:v>1.0073934687832355</c:v>
                </c:pt>
                <c:pt idx="58">
                  <c:v>1.0192423844385978</c:v>
                </c:pt>
                <c:pt idx="59">
                  <c:v>1.0216779380035981</c:v>
                </c:pt>
                <c:pt idx="60">
                  <c:v>1.0156167252900565</c:v>
                </c:pt>
                <c:pt idx="61">
                  <c:v>1.0010914494924306</c:v>
                </c:pt>
                <c:pt idx="62">
                  <c:v>0.98142431653274864</c:v>
                </c:pt>
                <c:pt idx="63">
                  <c:v>0.95754262542567914</c:v>
                </c:pt>
                <c:pt idx="64">
                  <c:v>0.93114650632850193</c:v>
                </c:pt>
                <c:pt idx="65">
                  <c:v>0.90605327610941688</c:v>
                </c:pt>
                <c:pt idx="66">
                  <c:v>0.8809421624767626</c:v>
                </c:pt>
                <c:pt idx="67">
                  <c:v>0.85952338316986643</c:v>
                </c:pt>
                <c:pt idx="68">
                  <c:v>0.83851220891254774</c:v>
                </c:pt>
                <c:pt idx="69">
                  <c:v>0.82073553566097468</c:v>
                </c:pt>
                <c:pt idx="70">
                  <c:v>0.80570771844802747</c:v>
                </c:pt>
                <c:pt idx="71">
                  <c:v>0.79498520743099621</c:v>
                </c:pt>
                <c:pt idx="72">
                  <c:v>0.78645568146233324</c:v>
                </c:pt>
                <c:pt idx="73">
                  <c:v>0.78086099814019927</c:v>
                </c:pt>
                <c:pt idx="74">
                  <c:v>0.77642618894531246</c:v>
                </c:pt>
                <c:pt idx="75">
                  <c:v>0.77394168957288711</c:v>
                </c:pt>
                <c:pt idx="76">
                  <c:v>0.77242177970039994</c:v>
                </c:pt>
                <c:pt idx="77">
                  <c:v>0.77065097983229658</c:v>
                </c:pt>
                <c:pt idx="78">
                  <c:v>0.77031815768232426</c:v>
                </c:pt>
                <c:pt idx="79">
                  <c:v>0.77006231409206616</c:v>
                </c:pt>
                <c:pt idx="80">
                  <c:v>0.77139434964490827</c:v>
                </c:pt>
                <c:pt idx="81">
                  <c:v>0.77242177970039994</c:v>
                </c:pt>
                <c:pt idx="82">
                  <c:v>0.77365791283636931</c:v>
                </c:pt>
                <c:pt idx="83">
                  <c:v>0.77479413403409791</c:v>
                </c:pt>
                <c:pt idx="84">
                  <c:v>0.77642618894531246</c:v>
                </c:pt>
                <c:pt idx="85">
                  <c:v>0.77814256458086328</c:v>
                </c:pt>
                <c:pt idx="86">
                  <c:v>0.77976112006559595</c:v>
                </c:pt>
                <c:pt idx="87">
                  <c:v>0.78172714642855246</c:v>
                </c:pt>
                <c:pt idx="88">
                  <c:v>0.78314821671562007</c:v>
                </c:pt>
                <c:pt idx="89">
                  <c:v>0.78523560333196152</c:v>
                </c:pt>
                <c:pt idx="90">
                  <c:v>0.7859778512995671</c:v>
                </c:pt>
                <c:pt idx="91">
                  <c:v>0.78738630335494297</c:v>
                </c:pt>
                <c:pt idx="92">
                  <c:v>0.78861244706314126</c:v>
                </c:pt>
                <c:pt idx="93">
                  <c:v>0.78962796597471041</c:v>
                </c:pt>
                <c:pt idx="94">
                  <c:v>0.79053860537001241</c:v>
                </c:pt>
                <c:pt idx="95">
                  <c:v>0.79147802706856685</c:v>
                </c:pt>
                <c:pt idx="96">
                  <c:v>0.79233870880321833</c:v>
                </c:pt>
                <c:pt idx="97">
                  <c:v>0.79301230524359168</c:v>
                </c:pt>
                <c:pt idx="98">
                  <c:v>0.79355193563347681</c:v>
                </c:pt>
                <c:pt idx="99">
                  <c:v>0.79452496325910915</c:v>
                </c:pt>
                <c:pt idx="100">
                  <c:v>0.79582573392648026</c:v>
                </c:pt>
                <c:pt idx="101">
                  <c:v>0.79645040324925886</c:v>
                </c:pt>
                <c:pt idx="102">
                  <c:v>0.79854825087828119</c:v>
                </c:pt>
                <c:pt idx="103">
                  <c:v>0.7995872988027537</c:v>
                </c:pt>
                <c:pt idx="104">
                  <c:v>0.80131542692285662</c:v>
                </c:pt>
                <c:pt idx="105">
                  <c:v>0.80266429686993823</c:v>
                </c:pt>
                <c:pt idx="106">
                  <c:v>0.80457085754293745</c:v>
                </c:pt>
                <c:pt idx="107">
                  <c:v>0.80723746459431456</c:v>
                </c:pt>
                <c:pt idx="108">
                  <c:v>0.80947221311264672</c:v>
                </c:pt>
                <c:pt idx="109">
                  <c:v>0.81160592873857196</c:v>
                </c:pt>
                <c:pt idx="110">
                  <c:v>0.81377846372917095</c:v>
                </c:pt>
                <c:pt idx="111">
                  <c:v>0.81627474195442173</c:v>
                </c:pt>
                <c:pt idx="112">
                  <c:v>0.81869961973317962</c:v>
                </c:pt>
                <c:pt idx="113">
                  <c:v>0.8214546854889927</c:v>
                </c:pt>
                <c:pt idx="114">
                  <c:v>0.82431427173791783</c:v>
                </c:pt>
                <c:pt idx="115">
                  <c:v>0.82614386101373039</c:v>
                </c:pt>
                <c:pt idx="116">
                  <c:v>0.82853683491615637</c:v>
                </c:pt>
                <c:pt idx="117">
                  <c:v>0.83138467778898262</c:v>
                </c:pt>
                <c:pt idx="118">
                  <c:v>0.83380678482993253</c:v>
                </c:pt>
                <c:pt idx="119">
                  <c:v>0.83668951103631384</c:v>
                </c:pt>
                <c:pt idx="120">
                  <c:v>0.83890164354907493</c:v>
                </c:pt>
              </c:numCache>
            </c:numRef>
          </c:yVal>
          <c:smooth val="1"/>
          <c:extLst>
            <c:ext xmlns:c16="http://schemas.microsoft.com/office/drawing/2014/chart" uri="{C3380CC4-5D6E-409C-BE32-E72D297353CC}">
              <c16:uniqueId val="{00000000-2166-4BB3-91CB-41B62504AAEB}"/>
            </c:ext>
          </c:extLst>
        </c:ser>
        <c:ser>
          <c:idx val="1"/>
          <c:order val="1"/>
          <c:tx>
            <c:v>Pico 1 - CAL1</c:v>
          </c:tx>
          <c:marker>
            <c:symbol val="none"/>
          </c:marker>
          <c:dPt>
            <c:idx val="9"/>
            <c:bubble3D val="0"/>
            <c:spPr>
              <a:ln>
                <a:solidFill>
                  <a:srgbClr val="FF0000"/>
                </a:solidFill>
              </a:ln>
            </c:spPr>
            <c:extLst>
              <c:ext xmlns:c16="http://schemas.microsoft.com/office/drawing/2014/chart" uri="{C3380CC4-5D6E-409C-BE32-E72D297353CC}">
                <c16:uniqueId val="{00000001-60E4-406C-9694-CE31431B4058}"/>
              </c:ext>
            </c:extLst>
          </c:dPt>
          <c:trendline>
            <c:trendlineType val="poly"/>
            <c:order val="6"/>
            <c:dispRSqr val="1"/>
            <c:dispEq val="1"/>
            <c:trendlineLbl>
              <c:layout>
                <c:manualLayout>
                  <c:x val="0.11007911936704506"/>
                  <c:y val="-0.26745947616119492"/>
                </c:manualLayout>
              </c:layout>
              <c:numFmt formatCode="0.000000000000000E+00" sourceLinked="0"/>
            </c:trendlineLbl>
          </c:trendline>
          <c:xVal>
            <c:numRef>
              <c:f>'Registro Tratado'!$B$336:$B$341</c:f>
              <c:numCache>
                <c:formatCode>0.0</c:formatCode>
                <c:ptCount val="6"/>
                <c:pt idx="0">
                  <c:v>244</c:v>
                </c:pt>
                <c:pt idx="1">
                  <c:v>243</c:v>
                </c:pt>
                <c:pt idx="2">
                  <c:v>242</c:v>
                </c:pt>
                <c:pt idx="3">
                  <c:v>241</c:v>
                </c:pt>
                <c:pt idx="4">
                  <c:v>240</c:v>
                </c:pt>
                <c:pt idx="5">
                  <c:v>239</c:v>
                </c:pt>
              </c:numCache>
            </c:numRef>
          </c:xVal>
          <c:yVal>
            <c:numRef>
              <c:f>'Registro Tratado'!$C$336:$C$341</c:f>
              <c:numCache>
                <c:formatCode>0.000</c:formatCode>
                <c:ptCount val="6"/>
                <c:pt idx="0">
                  <c:v>0.65600000000000003</c:v>
                </c:pt>
                <c:pt idx="1">
                  <c:v>0.69899999999999995</c:v>
                </c:pt>
                <c:pt idx="2">
                  <c:v>0.71799999999999997</c:v>
                </c:pt>
                <c:pt idx="3">
                  <c:v>0.72299999999999998</c:v>
                </c:pt>
                <c:pt idx="4">
                  <c:v>0.70399999999999996</c:v>
                </c:pt>
                <c:pt idx="5">
                  <c:v>0.68200000000000005</c:v>
                </c:pt>
              </c:numCache>
            </c:numRef>
          </c:yVal>
          <c:smooth val="1"/>
          <c:extLst>
            <c:ext xmlns:c16="http://schemas.microsoft.com/office/drawing/2014/chart" uri="{C3380CC4-5D6E-409C-BE32-E72D297353CC}">
              <c16:uniqueId val="{00000001-2166-4BB3-91CB-41B62504AAEB}"/>
            </c:ext>
          </c:extLst>
        </c:ser>
        <c:ser>
          <c:idx val="2"/>
          <c:order val="2"/>
          <c:tx>
            <c:v>Pico 1 - Largura de banda</c:v>
          </c:tx>
          <c:spPr>
            <a:ln w="15875">
              <a:solidFill>
                <a:srgbClr val="FFC000"/>
              </a:solidFill>
            </a:ln>
          </c:spPr>
          <c:marker>
            <c:symbol val="none"/>
          </c:marker>
          <c:xVal>
            <c:numRef>
              <c:f>'Registro Tratado'!$AH$330:$CP$330</c:f>
              <c:numCache>
                <c:formatCode>0.0</c:formatCode>
                <c:ptCount val="61"/>
                <c:pt idx="0">
                  <c:v>235.5</c:v>
                </c:pt>
                <c:pt idx="1">
                  <c:v>235.7</c:v>
                </c:pt>
                <c:pt idx="2">
                  <c:v>235.89999999999998</c:v>
                </c:pt>
                <c:pt idx="3">
                  <c:v>236.09999999999997</c:v>
                </c:pt>
                <c:pt idx="4">
                  <c:v>236.29999999999995</c:v>
                </c:pt>
                <c:pt idx="5">
                  <c:v>236.49999999999994</c:v>
                </c:pt>
                <c:pt idx="6">
                  <c:v>236.69999999999993</c:v>
                </c:pt>
                <c:pt idx="7">
                  <c:v>236.89999999999992</c:v>
                </c:pt>
                <c:pt idx="8">
                  <c:v>237.09999999999991</c:v>
                </c:pt>
                <c:pt idx="9">
                  <c:v>237.2999999999999</c:v>
                </c:pt>
                <c:pt idx="10">
                  <c:v>237.49999999999989</c:v>
                </c:pt>
                <c:pt idx="11">
                  <c:v>237.69999999999987</c:v>
                </c:pt>
                <c:pt idx="12">
                  <c:v>237.89999999999986</c:v>
                </c:pt>
                <c:pt idx="13">
                  <c:v>238.09999999999985</c:v>
                </c:pt>
                <c:pt idx="14">
                  <c:v>238.29999999999984</c:v>
                </c:pt>
                <c:pt idx="15">
                  <c:v>238.49999999999983</c:v>
                </c:pt>
                <c:pt idx="16">
                  <c:v>238.69999999999982</c:v>
                </c:pt>
                <c:pt idx="17">
                  <c:v>238.89999999999981</c:v>
                </c:pt>
                <c:pt idx="18">
                  <c:v>239.0999999999998</c:v>
                </c:pt>
                <c:pt idx="19">
                  <c:v>239.29999999999978</c:v>
                </c:pt>
                <c:pt idx="20">
                  <c:v>239.49999999999977</c:v>
                </c:pt>
                <c:pt idx="21">
                  <c:v>239.69999999999976</c:v>
                </c:pt>
                <c:pt idx="22">
                  <c:v>239.89999999999975</c:v>
                </c:pt>
                <c:pt idx="23">
                  <c:v>240.09999999999974</c:v>
                </c:pt>
                <c:pt idx="24">
                  <c:v>240.29999999999973</c:v>
                </c:pt>
                <c:pt idx="25">
                  <c:v>240.49999999999972</c:v>
                </c:pt>
                <c:pt idx="26">
                  <c:v>240.6999999999997</c:v>
                </c:pt>
                <c:pt idx="27">
                  <c:v>240.89999999999969</c:v>
                </c:pt>
                <c:pt idx="28">
                  <c:v>241.09999999999968</c:v>
                </c:pt>
                <c:pt idx="29">
                  <c:v>241.29999999999967</c:v>
                </c:pt>
                <c:pt idx="30">
                  <c:v>241.49999999999966</c:v>
                </c:pt>
                <c:pt idx="31">
                  <c:v>241.69999999999965</c:v>
                </c:pt>
                <c:pt idx="32">
                  <c:v>241.89999999999964</c:v>
                </c:pt>
                <c:pt idx="33">
                  <c:v>242.09999999999962</c:v>
                </c:pt>
                <c:pt idx="34">
                  <c:v>242.29999999999961</c:v>
                </c:pt>
                <c:pt idx="35">
                  <c:v>242.4999999999996</c:v>
                </c:pt>
                <c:pt idx="36">
                  <c:v>242.69999999999959</c:v>
                </c:pt>
                <c:pt idx="37">
                  <c:v>242.89999999999958</c:v>
                </c:pt>
                <c:pt idx="38">
                  <c:v>243.09999999999957</c:v>
                </c:pt>
                <c:pt idx="39">
                  <c:v>243.29999999999956</c:v>
                </c:pt>
                <c:pt idx="40">
                  <c:v>243.49999999999955</c:v>
                </c:pt>
                <c:pt idx="41">
                  <c:v>243.69999999999953</c:v>
                </c:pt>
                <c:pt idx="42">
                  <c:v>243.89999999999952</c:v>
                </c:pt>
                <c:pt idx="43">
                  <c:v>244.09999999999951</c:v>
                </c:pt>
                <c:pt idx="44">
                  <c:v>244.2999999999995</c:v>
                </c:pt>
                <c:pt idx="45">
                  <c:v>244.49999999999949</c:v>
                </c:pt>
                <c:pt idx="46">
                  <c:v>244.69999999999948</c:v>
                </c:pt>
                <c:pt idx="47">
                  <c:v>244.89999999999947</c:v>
                </c:pt>
                <c:pt idx="48">
                  <c:v>245.09999999999945</c:v>
                </c:pt>
                <c:pt idx="49">
                  <c:v>245.29999999999944</c:v>
                </c:pt>
                <c:pt idx="50">
                  <c:v>245.49999999999943</c:v>
                </c:pt>
                <c:pt idx="51">
                  <c:v>245.69999999999942</c:v>
                </c:pt>
                <c:pt idx="52">
                  <c:v>245.89999999999941</c:v>
                </c:pt>
                <c:pt idx="53">
                  <c:v>246.0999999999994</c:v>
                </c:pt>
                <c:pt idx="54">
                  <c:v>246.29999999999939</c:v>
                </c:pt>
                <c:pt idx="55">
                  <c:v>246.49999999999937</c:v>
                </c:pt>
                <c:pt idx="56">
                  <c:v>246.69999999999936</c:v>
                </c:pt>
                <c:pt idx="57">
                  <c:v>246.89999999999935</c:v>
                </c:pt>
                <c:pt idx="58">
                  <c:v>247.09999999999934</c:v>
                </c:pt>
                <c:pt idx="59">
                  <c:v>247.29999999999933</c:v>
                </c:pt>
                <c:pt idx="60">
                  <c:v>247.49999999999932</c:v>
                </c:pt>
              </c:numCache>
            </c:numRef>
          </c:xVal>
          <c:yVal>
            <c:numRef>
              <c:f>'Registro Tratado'!$AH$331:$CP$331</c:f>
              <c:numCache>
                <c:formatCode>0.0000</c:formatCode>
                <c:ptCount val="61"/>
                <c:pt idx="0">
                  <c:v>0.89295000000000002</c:v>
                </c:pt>
                <c:pt idx="1">
                  <c:v>0.89295000000000002</c:v>
                </c:pt>
                <c:pt idx="2">
                  <c:v>0.89295000000000002</c:v>
                </c:pt>
                <c:pt idx="3">
                  <c:v>0.89295000000000002</c:v>
                </c:pt>
                <c:pt idx="4">
                  <c:v>0.89295000000000002</c:v>
                </c:pt>
                <c:pt idx="5">
                  <c:v>0.89295000000000002</c:v>
                </c:pt>
                <c:pt idx="6">
                  <c:v>0.89295000000000002</c:v>
                </c:pt>
                <c:pt idx="7">
                  <c:v>0.89295000000000002</c:v>
                </c:pt>
                <c:pt idx="8">
                  <c:v>0.89295000000000002</c:v>
                </c:pt>
                <c:pt idx="9">
                  <c:v>0.89295000000000002</c:v>
                </c:pt>
                <c:pt idx="10">
                  <c:v>0.89295000000000002</c:v>
                </c:pt>
                <c:pt idx="11">
                  <c:v>0.89295000000000002</c:v>
                </c:pt>
                <c:pt idx="12">
                  <c:v>0.89295000000000002</c:v>
                </c:pt>
                <c:pt idx="13">
                  <c:v>0.89295000000000002</c:v>
                </c:pt>
                <c:pt idx="14">
                  <c:v>0.89295000000000002</c:v>
                </c:pt>
                <c:pt idx="15">
                  <c:v>0.89295000000000002</c:v>
                </c:pt>
                <c:pt idx="16">
                  <c:v>0.89295000000000002</c:v>
                </c:pt>
                <c:pt idx="17">
                  <c:v>0.89295000000000002</c:v>
                </c:pt>
                <c:pt idx="18">
                  <c:v>0.89295000000000002</c:v>
                </c:pt>
                <c:pt idx="19">
                  <c:v>0.89295000000000002</c:v>
                </c:pt>
                <c:pt idx="20">
                  <c:v>0.89295000000000002</c:v>
                </c:pt>
                <c:pt idx="21">
                  <c:v>0.89295000000000002</c:v>
                </c:pt>
                <c:pt idx="22">
                  <c:v>0.89295000000000002</c:v>
                </c:pt>
                <c:pt idx="23">
                  <c:v>0.89295000000000002</c:v>
                </c:pt>
                <c:pt idx="24">
                  <c:v>0.89295000000000002</c:v>
                </c:pt>
                <c:pt idx="25">
                  <c:v>0.89295000000000002</c:v>
                </c:pt>
                <c:pt idx="26">
                  <c:v>0.89295000000000002</c:v>
                </c:pt>
                <c:pt idx="27">
                  <c:v>0.89295000000000002</c:v>
                </c:pt>
                <c:pt idx="28">
                  <c:v>0.89295000000000002</c:v>
                </c:pt>
                <c:pt idx="29">
                  <c:v>0.89295000000000002</c:v>
                </c:pt>
                <c:pt idx="30">
                  <c:v>0.89295000000000002</c:v>
                </c:pt>
                <c:pt idx="31">
                  <c:v>0.89295000000000002</c:v>
                </c:pt>
                <c:pt idx="32">
                  <c:v>0.89295000000000002</c:v>
                </c:pt>
                <c:pt idx="33">
                  <c:v>0.89295000000000002</c:v>
                </c:pt>
                <c:pt idx="34">
                  <c:v>0.89295000000000002</c:v>
                </c:pt>
                <c:pt idx="35">
                  <c:v>0.89295000000000002</c:v>
                </c:pt>
                <c:pt idx="36">
                  <c:v>0.89295000000000002</c:v>
                </c:pt>
                <c:pt idx="37">
                  <c:v>0.89295000000000002</c:v>
                </c:pt>
                <c:pt idx="38">
                  <c:v>0.89295000000000002</c:v>
                </c:pt>
                <c:pt idx="39">
                  <c:v>0.89295000000000002</c:v>
                </c:pt>
                <c:pt idx="40">
                  <c:v>0.89295000000000002</c:v>
                </c:pt>
                <c:pt idx="41">
                  <c:v>0.89295000000000002</c:v>
                </c:pt>
                <c:pt idx="42">
                  <c:v>0.89295000000000002</c:v>
                </c:pt>
                <c:pt idx="43">
                  <c:v>0.89295000000000002</c:v>
                </c:pt>
                <c:pt idx="44">
                  <c:v>0.89295000000000002</c:v>
                </c:pt>
                <c:pt idx="45">
                  <c:v>0.89295000000000002</c:v>
                </c:pt>
                <c:pt idx="46">
                  <c:v>0.89295000000000002</c:v>
                </c:pt>
                <c:pt idx="47">
                  <c:v>0.89295000000000002</c:v>
                </c:pt>
                <c:pt idx="48">
                  <c:v>0.89295000000000002</c:v>
                </c:pt>
                <c:pt idx="49">
                  <c:v>0.89295000000000002</c:v>
                </c:pt>
                <c:pt idx="50">
                  <c:v>0.89295000000000002</c:v>
                </c:pt>
                <c:pt idx="51">
                  <c:v>0.89295000000000002</c:v>
                </c:pt>
                <c:pt idx="52">
                  <c:v>0.89295000000000002</c:v>
                </c:pt>
                <c:pt idx="53">
                  <c:v>0.89295000000000002</c:v>
                </c:pt>
                <c:pt idx="54">
                  <c:v>0.89295000000000002</c:v>
                </c:pt>
                <c:pt idx="55">
                  <c:v>0.89295000000000002</c:v>
                </c:pt>
                <c:pt idx="56">
                  <c:v>0.89295000000000002</c:v>
                </c:pt>
                <c:pt idx="57">
                  <c:v>0.89295000000000002</c:v>
                </c:pt>
                <c:pt idx="58">
                  <c:v>0.89295000000000002</c:v>
                </c:pt>
                <c:pt idx="59">
                  <c:v>0.89295000000000002</c:v>
                </c:pt>
                <c:pt idx="60">
                  <c:v>0.89295000000000002</c:v>
                </c:pt>
              </c:numCache>
            </c:numRef>
          </c:yVal>
          <c:smooth val="1"/>
          <c:extLst>
            <c:ext xmlns:c16="http://schemas.microsoft.com/office/drawing/2014/chart" uri="{C3380CC4-5D6E-409C-BE32-E72D297353CC}">
              <c16:uniqueId val="{00000002-2166-4BB3-91CB-41B62504AAEB}"/>
            </c:ext>
          </c:extLst>
        </c:ser>
        <c:ser>
          <c:idx val="3"/>
          <c:order val="3"/>
          <c:tx>
            <c:v>Pico 1 - CAL 2</c:v>
          </c:tx>
          <c:spPr>
            <a:ln>
              <a:solidFill>
                <a:srgbClr val="00B050"/>
              </a:solidFill>
            </a:ln>
          </c:spPr>
          <c:marker>
            <c:symbol val="none"/>
          </c:marker>
          <c:trendline>
            <c:trendlineType val="poly"/>
            <c:order val="6"/>
            <c:dispRSqr val="1"/>
            <c:dispEq val="1"/>
            <c:trendlineLbl>
              <c:layout>
                <c:manualLayout>
                  <c:x val="9.6319229446164431E-2"/>
                  <c:y val="6.6141940591056686E-2"/>
                </c:manualLayout>
              </c:layout>
              <c:numFmt formatCode="0.000000000000000E+00" sourceLinked="0"/>
            </c:trendlineLbl>
          </c:trendline>
          <c:xVal>
            <c:numRef>
              <c:f>'Registro Tratado'!$E$336:$E$341</c:f>
              <c:numCache>
                <c:formatCode>0.0</c:formatCode>
                <c:ptCount val="6"/>
                <c:pt idx="0">
                  <c:v>242.5</c:v>
                </c:pt>
                <c:pt idx="1">
                  <c:v>242</c:v>
                </c:pt>
                <c:pt idx="2">
                  <c:v>241.5</c:v>
                </c:pt>
                <c:pt idx="3">
                  <c:v>241</c:v>
                </c:pt>
                <c:pt idx="4">
                  <c:v>240.5</c:v>
                </c:pt>
                <c:pt idx="5">
                  <c:v>240</c:v>
                </c:pt>
              </c:numCache>
            </c:numRef>
          </c:xVal>
          <c:yVal>
            <c:numRef>
              <c:f>'Registro Tratado'!$F$336:$F$341</c:f>
              <c:numCache>
                <c:formatCode>0.000</c:formatCode>
                <c:ptCount val="6"/>
                <c:pt idx="0">
                  <c:v>0.66800000000000004</c:v>
                </c:pt>
                <c:pt idx="1">
                  <c:v>0.70599999999999996</c:v>
                </c:pt>
                <c:pt idx="2">
                  <c:v>0.72</c:v>
                </c:pt>
                <c:pt idx="3">
                  <c:v>0.72</c:v>
                </c:pt>
                <c:pt idx="4">
                  <c:v>0.69599999999999995</c:v>
                </c:pt>
                <c:pt idx="5">
                  <c:v>0.67700000000000005</c:v>
                </c:pt>
              </c:numCache>
            </c:numRef>
          </c:yVal>
          <c:smooth val="1"/>
          <c:extLst>
            <c:ext xmlns:c16="http://schemas.microsoft.com/office/drawing/2014/chart" uri="{C3380CC4-5D6E-409C-BE32-E72D297353CC}">
              <c16:uniqueId val="{00000003-2166-4BB3-91CB-41B62504AAEB}"/>
            </c:ext>
          </c:extLst>
        </c:ser>
        <c:dLbls>
          <c:showLegendKey val="0"/>
          <c:showVal val="0"/>
          <c:showCatName val="0"/>
          <c:showSerName val="0"/>
          <c:showPercent val="0"/>
          <c:showBubbleSize val="0"/>
        </c:dLbls>
        <c:axId val="79564160"/>
        <c:axId val="79574528"/>
      </c:scatterChart>
      <c:valAx>
        <c:axId val="79564160"/>
        <c:scaling>
          <c:orientation val="minMax"/>
          <c:max val="247.5"/>
          <c:min val="235.5"/>
        </c:scaling>
        <c:delete val="0"/>
        <c:axPos val="t"/>
        <c:title>
          <c:tx>
            <c:rich>
              <a:bodyPr/>
              <a:lstStyle/>
              <a:p>
                <a:pPr>
                  <a:defRPr sz="1000" b="1" i="0" u="none" strike="noStrike" baseline="0">
                    <a:solidFill>
                      <a:srgbClr val="000000"/>
                    </a:solidFill>
                    <a:latin typeface="Arial"/>
                    <a:ea typeface="Arial"/>
                    <a:cs typeface="Arial"/>
                  </a:defRPr>
                </a:pPr>
                <a:r>
                  <a:rPr lang="pt-BR"/>
                  <a:t>Comprimento</a:t>
                </a:r>
                <a:r>
                  <a:rPr lang="pt-BR" baseline="0"/>
                  <a:t> de Onda</a:t>
                </a:r>
                <a:r>
                  <a:rPr lang="pt-BR"/>
                  <a:t> [nm]</a:t>
                </a:r>
              </a:p>
            </c:rich>
          </c:tx>
          <c:layout>
            <c:manualLayout>
              <c:xMode val="edge"/>
              <c:yMode val="edge"/>
              <c:x val="0.43979123805746739"/>
              <c:y val="0.89920390254248539"/>
            </c:manualLayout>
          </c:layout>
          <c:overlay val="0"/>
          <c:spPr>
            <a:noFill/>
            <a:ln w="25400">
              <a:noFill/>
            </a:ln>
          </c:spPr>
        </c:title>
        <c:numFmt formatCode="0.0" sourceLinked="0"/>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pt-BR"/>
          </a:p>
        </c:txPr>
        <c:crossAx val="79574528"/>
        <c:crosses val="max"/>
        <c:crossBetween val="midCat"/>
        <c:majorUnit val="1"/>
        <c:minorUnit val="0.2"/>
      </c:valAx>
      <c:valAx>
        <c:axId val="79574528"/>
        <c:scaling>
          <c:orientation val="minMax"/>
          <c:max val="1.04"/>
          <c:min val="0.60000000000000031"/>
        </c:scaling>
        <c:delete val="0"/>
        <c:axPos val="l"/>
        <c:majorGridlines>
          <c:spPr>
            <a:ln w="3175">
              <a:solidFill>
                <a:schemeClr val="bg1">
                  <a:lumMod val="65000"/>
                </a:schemeClr>
              </a:solidFill>
              <a:prstDash val="solid"/>
            </a:ln>
          </c:spPr>
        </c:majorGridlines>
        <c:title>
          <c:tx>
            <c:rich>
              <a:bodyPr/>
              <a:lstStyle/>
              <a:p>
                <a:pPr>
                  <a:defRPr sz="1000" b="1" i="0" u="none" strike="noStrike" baseline="0">
                    <a:solidFill>
                      <a:srgbClr val="000000"/>
                    </a:solidFill>
                    <a:latin typeface="Arial"/>
                    <a:ea typeface="Arial"/>
                    <a:cs typeface="Arial"/>
                  </a:defRPr>
                </a:pPr>
                <a:r>
                  <a:rPr lang="pt-BR"/>
                  <a:t>Absorbância </a:t>
                </a:r>
              </a:p>
            </c:rich>
          </c:tx>
          <c:layout>
            <c:manualLayout>
              <c:xMode val="edge"/>
              <c:yMode val="edge"/>
              <c:x val="1.4464127978496838E-2"/>
              <c:y val="0.3447447528075383"/>
            </c:manualLayout>
          </c:layout>
          <c:overlay val="0"/>
          <c:spPr>
            <a:noFill/>
            <a:ln w="25400">
              <a:noFill/>
            </a:ln>
          </c:spPr>
        </c:title>
        <c:numFmt formatCode="0.00" sourceLinked="0"/>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pt-BR"/>
          </a:p>
        </c:txPr>
        <c:crossAx val="79564160"/>
        <c:crossesAt val="235.5"/>
        <c:crossBetween val="midCat"/>
        <c:majorUnit val="2.0000000000000011E-2"/>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pt-BR"/>
    </a:p>
  </c:txPr>
  <c:printSettings>
    <c:headerFooter alignWithMargins="0"/>
    <c:pageMargins b="0.98425196899999978" l="0.78740157499999996" r="0.78740157499999996" t="0.98425196899999978" header="0.5" footer="0.5"/>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b="1">
                <a:solidFill>
                  <a:sysClr val="windowText" lastClr="000000"/>
                </a:solidFill>
              </a:rPr>
              <a:t>Padrões</a:t>
            </a:r>
            <a:r>
              <a:rPr lang="pt-BR" b="1" baseline="0">
                <a:solidFill>
                  <a:sysClr val="windowText" lastClr="000000"/>
                </a:solidFill>
              </a:rPr>
              <a:t> de Densidade Neutra - Última Calibração</a:t>
            </a:r>
            <a:endParaRPr lang="pt-BR" b="1">
              <a:solidFill>
                <a:sysClr val="windowText" lastClr="000000"/>
              </a:solidFill>
            </a:endParaRPr>
          </a:p>
        </c:rich>
      </c:tx>
      <c:layout>
        <c:manualLayout>
          <c:xMode val="edge"/>
          <c:yMode val="edge"/>
          <c:x val="0.32800370541917567"/>
          <c:y val="1.3355592654424039E-2"/>
        </c:manualLayout>
      </c:layout>
      <c:overlay val="0"/>
      <c:spPr>
        <a:noFill/>
        <a:ln w="25400">
          <a:noFill/>
        </a:ln>
      </c:spPr>
    </c:title>
    <c:autoTitleDeleted val="0"/>
    <c:plotArea>
      <c:layout>
        <c:manualLayout>
          <c:layoutTarget val="inner"/>
          <c:xMode val="edge"/>
          <c:yMode val="edge"/>
          <c:x val="8.6471848130111148E-2"/>
          <c:y val="7.1573070297877558E-2"/>
          <c:w val="0.8776962551662536"/>
          <c:h val="0.8157319090939994"/>
        </c:manualLayout>
      </c:layout>
      <c:scatterChart>
        <c:scatterStyle val="smoothMarker"/>
        <c:varyColors val="0"/>
        <c:ser>
          <c:idx val="0"/>
          <c:order val="0"/>
          <c:tx>
            <c:v>Abs 1 - Vis</c:v>
          </c:tx>
          <c:spPr>
            <a:ln w="158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xVal>
            <c:numRef>
              <c:f>'Cadastro - Padrões Lambda'!$G$6:$K$6</c:f>
              <c:numCache>
                <c:formatCode>General</c:formatCode>
                <c:ptCount val="5"/>
                <c:pt idx="0">
                  <c:v>440</c:v>
                </c:pt>
                <c:pt idx="1">
                  <c:v>465</c:v>
                </c:pt>
                <c:pt idx="2">
                  <c:v>546.1</c:v>
                </c:pt>
                <c:pt idx="3">
                  <c:v>590</c:v>
                </c:pt>
                <c:pt idx="4">
                  <c:v>635</c:v>
                </c:pt>
              </c:numCache>
            </c:numRef>
          </c:xVal>
          <c:yVal>
            <c:numRef>
              <c:f>'Cadastro - Padrões Lambda'!$G$7:$K$7</c:f>
              <c:numCache>
                <c:formatCode>0.0000</c:formatCode>
                <c:ptCount val="5"/>
                <c:pt idx="0">
                  <c:v>1.0057</c:v>
                </c:pt>
                <c:pt idx="1">
                  <c:v>0.95679999999999998</c:v>
                </c:pt>
                <c:pt idx="2">
                  <c:v>1.0011000000000001</c:v>
                </c:pt>
                <c:pt idx="3">
                  <c:v>1.0968</c:v>
                </c:pt>
                <c:pt idx="4">
                  <c:v>1.0894999999999999</c:v>
                </c:pt>
              </c:numCache>
            </c:numRef>
          </c:yVal>
          <c:smooth val="1"/>
          <c:extLst>
            <c:ext xmlns:c16="http://schemas.microsoft.com/office/drawing/2014/chart" uri="{C3380CC4-5D6E-409C-BE32-E72D297353CC}">
              <c16:uniqueId val="{00000000-EE35-4039-A89C-DC5AE3BC8D5C}"/>
            </c:ext>
          </c:extLst>
        </c:ser>
        <c:ser>
          <c:idx val="3"/>
          <c:order val="1"/>
          <c:tx>
            <c:v>Abs 0,5 - Vis</c:v>
          </c:tx>
          <c:spPr>
            <a:ln w="15875" cap="rnd">
              <a:solidFill>
                <a:schemeClr val="accent5">
                  <a:lumMod val="75000"/>
                </a:schemeClr>
              </a:solidFill>
              <a:round/>
            </a:ln>
            <a:effectLst/>
          </c:spPr>
          <c:marker>
            <c:symbol val="circle"/>
            <c:size val="5"/>
            <c:spPr>
              <a:solidFill>
                <a:schemeClr val="accent4"/>
              </a:solidFill>
              <a:ln w="9525">
                <a:solidFill>
                  <a:schemeClr val="accent4"/>
                </a:solidFill>
              </a:ln>
              <a:effectLst/>
            </c:spPr>
          </c:marker>
          <c:xVal>
            <c:numRef>
              <c:f>'Cadastro - Padrões Lambda'!$G$6:$K$6</c:f>
              <c:numCache>
                <c:formatCode>General</c:formatCode>
                <c:ptCount val="5"/>
                <c:pt idx="0">
                  <c:v>440</c:v>
                </c:pt>
                <c:pt idx="1">
                  <c:v>465</c:v>
                </c:pt>
                <c:pt idx="2">
                  <c:v>546.1</c:v>
                </c:pt>
                <c:pt idx="3">
                  <c:v>590</c:v>
                </c:pt>
                <c:pt idx="4">
                  <c:v>635</c:v>
                </c:pt>
              </c:numCache>
            </c:numRef>
          </c:xVal>
          <c:yVal>
            <c:numRef>
              <c:f>'Cadastro - Padrões Lambda'!$G$8:$K$8</c:f>
              <c:numCache>
                <c:formatCode>0.0000</c:formatCode>
                <c:ptCount val="5"/>
                <c:pt idx="0">
                  <c:v>0.55149999999999999</c:v>
                </c:pt>
                <c:pt idx="1">
                  <c:v>0.51400000000000001</c:v>
                </c:pt>
                <c:pt idx="2">
                  <c:v>0.51149999999999995</c:v>
                </c:pt>
                <c:pt idx="3">
                  <c:v>0.54459999999999997</c:v>
                </c:pt>
                <c:pt idx="4">
                  <c:v>0.55210000000000004</c:v>
                </c:pt>
              </c:numCache>
            </c:numRef>
          </c:yVal>
          <c:smooth val="1"/>
          <c:extLst>
            <c:ext xmlns:c16="http://schemas.microsoft.com/office/drawing/2014/chart" uri="{C3380CC4-5D6E-409C-BE32-E72D297353CC}">
              <c16:uniqueId val="{00000001-EE35-4039-A89C-DC5AE3BC8D5C}"/>
            </c:ext>
          </c:extLst>
        </c:ser>
        <c:ser>
          <c:idx val="1"/>
          <c:order val="2"/>
          <c:tx>
            <c:v>Abs 0,25 - Vis</c:v>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'Cadastro - Padrões Lambda'!$G$6:$K$6</c:f>
              <c:numCache>
                <c:formatCode>General</c:formatCode>
                <c:ptCount val="5"/>
                <c:pt idx="0">
                  <c:v>440</c:v>
                </c:pt>
                <c:pt idx="1">
                  <c:v>465</c:v>
                </c:pt>
                <c:pt idx="2">
                  <c:v>546.1</c:v>
                </c:pt>
                <c:pt idx="3">
                  <c:v>590</c:v>
                </c:pt>
                <c:pt idx="4">
                  <c:v>635</c:v>
                </c:pt>
              </c:numCache>
            </c:numRef>
          </c:xVal>
          <c:yVal>
            <c:numRef>
              <c:f>'Cadastro - Padrões Lambda'!$G$9:$K$9</c:f>
              <c:numCache>
                <c:formatCode>0.0000</c:formatCode>
                <c:ptCount val="5"/>
                <c:pt idx="0">
                  <c:v>0.2661</c:v>
                </c:pt>
                <c:pt idx="1">
                  <c:v>0.2412</c:v>
                </c:pt>
                <c:pt idx="2">
                  <c:v>0.2505</c:v>
                </c:pt>
                <c:pt idx="3">
                  <c:v>0.29399999999999998</c:v>
                </c:pt>
                <c:pt idx="4">
                  <c:v>0.30199999999999999</c:v>
                </c:pt>
              </c:numCache>
            </c:numRef>
          </c:yVal>
          <c:smooth val="1"/>
          <c:extLst>
            <c:ext xmlns:c16="http://schemas.microsoft.com/office/drawing/2014/chart" uri="{C3380CC4-5D6E-409C-BE32-E72D297353CC}">
              <c16:uniqueId val="{00000002-EE35-4039-A89C-DC5AE3BC8D5C}"/>
            </c:ext>
          </c:extLst>
        </c:ser>
        <c:dLbls>
          <c:showLegendKey val="0"/>
          <c:showVal val="0"/>
          <c:showCatName val="0"/>
          <c:showSerName val="0"/>
          <c:showPercent val="0"/>
          <c:showBubbleSize val="0"/>
        </c:dLbls>
        <c:axId val="81674624"/>
        <c:axId val="81676544"/>
      </c:scatterChart>
      <c:valAx>
        <c:axId val="81674624"/>
        <c:scaling>
          <c:orientation val="minMax"/>
          <c:max val="700"/>
          <c:min val="4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pt-BR" sz="1100" b="1">
                    <a:solidFill>
                      <a:sysClr val="windowText" lastClr="000000"/>
                    </a:solidFill>
                  </a:rPr>
                  <a:t>Comprimento</a:t>
                </a:r>
                <a:r>
                  <a:rPr lang="pt-BR" sz="1100" b="1" baseline="0">
                    <a:solidFill>
                      <a:sysClr val="windowText" lastClr="000000"/>
                    </a:solidFill>
                  </a:rPr>
                  <a:t> de Onda [nm]</a:t>
                </a:r>
                <a:endParaRPr lang="pt-BR" sz="1100" b="1">
                  <a:solidFill>
                    <a:sysClr val="windowText" lastClr="000000"/>
                  </a:solidFill>
                </a:endParaRPr>
              </a:p>
            </c:rich>
          </c:tx>
          <c:overlay val="0"/>
          <c:spPr>
            <a:noFill/>
            <a:ln w="25400">
              <a:noFill/>
            </a:ln>
          </c:spPr>
        </c:title>
        <c:numFmt formatCode="General" sourceLinked="1"/>
        <c:majorTickMark val="out"/>
        <c:minorTickMark val="none"/>
        <c:tickLblPos val="nextTo"/>
        <c:spPr>
          <a:noFill/>
          <a:ln w="9525" cap="flat" cmpd="sng" algn="ctr">
            <a:solidFill>
              <a:schemeClr val="tx1"/>
            </a:solidFill>
            <a:round/>
          </a:ln>
          <a:effectLst/>
        </c:spPr>
        <c:txPr>
          <a:bodyPr rot="0" vert="horz"/>
          <a:lstStyle/>
          <a:p>
            <a:pPr>
              <a:defRPr sz="900" b="1" i="0" u="none" strike="noStrike" baseline="0">
                <a:solidFill>
                  <a:srgbClr val="333333"/>
                </a:solidFill>
                <a:latin typeface="Calibri"/>
                <a:ea typeface="Calibri"/>
                <a:cs typeface="Calibri"/>
              </a:defRPr>
            </a:pPr>
            <a:endParaRPr lang="pt-BR"/>
          </a:p>
        </c:txPr>
        <c:crossAx val="81676544"/>
        <c:crosses val="autoZero"/>
        <c:crossBetween val="midCat"/>
        <c:majorUnit val="20"/>
        <c:minorUnit val="10"/>
      </c:valAx>
      <c:valAx>
        <c:axId val="81676544"/>
        <c:scaling>
          <c:orientation val="minMax"/>
          <c:max val="1.2"/>
          <c:min val="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pt-BR" sz="1100" b="1">
                    <a:solidFill>
                      <a:sysClr val="windowText" lastClr="000000"/>
                    </a:solidFill>
                  </a:rPr>
                  <a:t>Absorbância</a:t>
                </a:r>
              </a:p>
            </c:rich>
          </c:tx>
          <c:overlay val="0"/>
          <c:spPr>
            <a:noFill/>
            <a:ln w="25400">
              <a:noFill/>
            </a:ln>
          </c:spPr>
        </c:title>
        <c:numFmt formatCode="0.000" sourceLinked="0"/>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pt-BR"/>
          </a:p>
        </c:txPr>
        <c:crossAx val="81674624"/>
        <c:crossesAt val="1"/>
        <c:crossBetween val="midCat"/>
        <c:majorUnit val="5.0000000000000024E-2"/>
        <c:minorUnit val="5.0000000000000027E-3"/>
      </c:valAx>
      <c:spPr>
        <a:noFill/>
        <a:ln>
          <a:solidFill>
            <a:schemeClr val="tx1"/>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14" footer="0.3149606200000001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b="1">
                <a:solidFill>
                  <a:sysClr val="windowText" lastClr="000000"/>
                </a:solidFill>
              </a:rPr>
              <a:t>Padrões</a:t>
            </a:r>
            <a:r>
              <a:rPr lang="pt-BR" b="1" baseline="0">
                <a:solidFill>
                  <a:sysClr val="windowText" lastClr="000000"/>
                </a:solidFill>
              </a:rPr>
              <a:t> de Densidade Neutra - Deriva para Absorbância Nominal 1A</a:t>
            </a:r>
            <a:endParaRPr lang="pt-BR" b="1">
              <a:solidFill>
                <a:sysClr val="windowText" lastClr="000000"/>
              </a:solidFill>
            </a:endParaRPr>
          </a:p>
        </c:rich>
      </c:tx>
      <c:layout>
        <c:manualLayout>
          <c:xMode val="edge"/>
          <c:yMode val="edge"/>
          <c:x val="0.29732293578909602"/>
          <c:y val="0"/>
        </c:manualLayout>
      </c:layout>
      <c:overlay val="0"/>
      <c:spPr>
        <a:noFill/>
        <a:ln w="25400">
          <a:noFill/>
        </a:ln>
      </c:spPr>
    </c:title>
    <c:autoTitleDeleted val="0"/>
    <c:plotArea>
      <c:layout>
        <c:manualLayout>
          <c:layoutTarget val="inner"/>
          <c:xMode val="edge"/>
          <c:yMode val="edge"/>
          <c:x val="8.7750182818363318E-2"/>
          <c:y val="8.9380463502162458E-2"/>
          <c:w val="0.8776962551662536"/>
          <c:h val="0.8157319090939994"/>
        </c:manualLayout>
      </c:layout>
      <c:scatterChart>
        <c:scatterStyle val="smoothMarker"/>
        <c:varyColors val="0"/>
        <c:ser>
          <c:idx val="0"/>
          <c:order val="0"/>
          <c:tx>
            <c:v>Abs 1 - Vis</c:v>
          </c:tx>
          <c:spPr>
            <a:ln w="3175" cap="rnd">
              <a:solidFill>
                <a:sysClr val="windowText" lastClr="000000"/>
              </a:solidFill>
              <a:round/>
            </a:ln>
            <a:effectLst/>
          </c:spPr>
          <c:marker>
            <c:symbol val="circle"/>
            <c:size val="4"/>
            <c:spPr>
              <a:solidFill>
                <a:schemeClr val="tx1"/>
              </a:solidFill>
              <a:ln w="9525">
                <a:solidFill>
                  <a:sysClr val="windowText" lastClr="000000"/>
                </a:solidFill>
              </a:ln>
              <a:effectLst/>
            </c:spPr>
          </c:marker>
          <c:xVal>
            <c:numRef>
              <c:f>'Cadastro - Padrões Lambda'!$G$6:$K$6</c:f>
              <c:numCache>
                <c:formatCode>General</c:formatCode>
                <c:ptCount val="5"/>
                <c:pt idx="0">
                  <c:v>440</c:v>
                </c:pt>
                <c:pt idx="1">
                  <c:v>465</c:v>
                </c:pt>
                <c:pt idx="2">
                  <c:v>546.1</c:v>
                </c:pt>
                <c:pt idx="3">
                  <c:v>590</c:v>
                </c:pt>
                <c:pt idx="4">
                  <c:v>635</c:v>
                </c:pt>
              </c:numCache>
            </c:numRef>
          </c:xVal>
          <c:yVal>
            <c:numRef>
              <c:f>'Cadastro - Padrões Lambda'!$G$7:$K$7</c:f>
              <c:numCache>
                <c:formatCode>0.0000</c:formatCode>
                <c:ptCount val="5"/>
                <c:pt idx="0">
                  <c:v>1.0057</c:v>
                </c:pt>
                <c:pt idx="1">
                  <c:v>0.95679999999999998</c:v>
                </c:pt>
                <c:pt idx="2">
                  <c:v>1.0011000000000001</c:v>
                </c:pt>
                <c:pt idx="3">
                  <c:v>1.0968</c:v>
                </c:pt>
                <c:pt idx="4">
                  <c:v>1.0894999999999999</c:v>
                </c:pt>
              </c:numCache>
            </c:numRef>
          </c:yVal>
          <c:smooth val="1"/>
          <c:extLst>
            <c:ext xmlns:c16="http://schemas.microsoft.com/office/drawing/2014/chart" uri="{C3380CC4-5D6E-409C-BE32-E72D297353CC}">
              <c16:uniqueId val="{00000000-370F-47BF-86C8-DEC3CFE84A3D}"/>
            </c:ext>
          </c:extLst>
        </c:ser>
        <c:ser>
          <c:idx val="1"/>
          <c:order val="1"/>
          <c:tx>
            <c:v>Abs 1 - IPT</c:v>
          </c:tx>
          <c:spPr>
            <a:ln w="3175"/>
          </c:spPr>
          <c:xVal>
            <c:numRef>
              <c:f>'Cadastro - Padrões Lambda'!$G$6:$K$6</c:f>
              <c:numCache>
                <c:formatCode>General</c:formatCode>
                <c:ptCount val="5"/>
                <c:pt idx="0">
                  <c:v>440</c:v>
                </c:pt>
                <c:pt idx="1">
                  <c:v>465</c:v>
                </c:pt>
                <c:pt idx="2">
                  <c:v>546.1</c:v>
                </c:pt>
                <c:pt idx="3">
                  <c:v>590</c:v>
                </c:pt>
                <c:pt idx="4">
                  <c:v>635</c:v>
                </c:pt>
              </c:numCache>
            </c:numRef>
          </c:xVal>
          <c:yVal>
            <c:numRef>
              <c:f>'Cadastro - Padrões Lambda'!$G$14:$K$14</c:f>
              <c:numCache>
                <c:formatCode>0.000</c:formatCode>
                <c:ptCount val="5"/>
                <c:pt idx="0">
                  <c:v>1.0089999999999999</c:v>
                </c:pt>
                <c:pt idx="1">
                  <c:v>0.95799999999999996</c:v>
                </c:pt>
                <c:pt idx="2">
                  <c:v>1.0009999999999999</c:v>
                </c:pt>
                <c:pt idx="3">
                  <c:v>1.097</c:v>
                </c:pt>
                <c:pt idx="4">
                  <c:v>1.089</c:v>
                </c:pt>
              </c:numCache>
            </c:numRef>
          </c:yVal>
          <c:smooth val="1"/>
          <c:extLst>
            <c:ext xmlns:c16="http://schemas.microsoft.com/office/drawing/2014/chart" uri="{C3380CC4-5D6E-409C-BE32-E72D297353CC}">
              <c16:uniqueId val="{00000001-370F-47BF-86C8-DEC3CFE84A3D}"/>
            </c:ext>
          </c:extLst>
        </c:ser>
        <c:ser>
          <c:idx val="2"/>
          <c:order val="2"/>
          <c:tx>
            <c:v>Abs 1 - Sta</c:v>
          </c:tx>
          <c:spPr>
            <a:ln w="9525" cmpd="sng">
              <a:solidFill>
                <a:srgbClr val="00B050"/>
              </a:solidFill>
              <a:headEnd type="none" w="sm" len="sm"/>
            </a:ln>
          </c:spPr>
          <c:marker>
            <c:symbol val="triangle"/>
            <c:size val="3"/>
            <c:spPr>
              <a:solidFill>
                <a:srgbClr val="00B050"/>
              </a:solidFill>
              <a:ln cmpd="sng">
                <a:solidFill>
                  <a:srgbClr val="00B050"/>
                </a:solidFill>
              </a:ln>
            </c:spPr>
          </c:marker>
          <c:xVal>
            <c:numRef>
              <c:f>'Cadastro - Padrões Lambda'!$G$6:$K$6</c:f>
              <c:numCache>
                <c:formatCode>General</c:formatCode>
                <c:ptCount val="5"/>
                <c:pt idx="0">
                  <c:v>440</c:v>
                </c:pt>
                <c:pt idx="1">
                  <c:v>465</c:v>
                </c:pt>
                <c:pt idx="2">
                  <c:v>546.1</c:v>
                </c:pt>
                <c:pt idx="3">
                  <c:v>590</c:v>
                </c:pt>
                <c:pt idx="4">
                  <c:v>635</c:v>
                </c:pt>
              </c:numCache>
            </c:numRef>
          </c:xVal>
          <c:yVal>
            <c:numRef>
              <c:f>'Cadastro - Padrões Lambda'!$G$18:$K$18</c:f>
              <c:numCache>
                <c:formatCode>0.0000</c:formatCode>
                <c:ptCount val="5"/>
                <c:pt idx="0">
                  <c:v>1.0093000000000001</c:v>
                </c:pt>
                <c:pt idx="1">
                  <c:v>0.95820000000000005</c:v>
                </c:pt>
                <c:pt idx="2">
                  <c:v>1.0021</c:v>
                </c:pt>
                <c:pt idx="3">
                  <c:v>1.0980000000000001</c:v>
                </c:pt>
                <c:pt idx="4">
                  <c:v>1.0900000000000001</c:v>
                </c:pt>
              </c:numCache>
            </c:numRef>
          </c:yVal>
          <c:smooth val="1"/>
          <c:extLst>
            <c:ext xmlns:c16="http://schemas.microsoft.com/office/drawing/2014/chart" uri="{C3380CC4-5D6E-409C-BE32-E72D297353CC}">
              <c16:uniqueId val="{00000002-370F-47BF-86C8-DEC3CFE84A3D}"/>
            </c:ext>
          </c:extLst>
        </c:ser>
        <c:dLbls>
          <c:showLegendKey val="0"/>
          <c:showVal val="0"/>
          <c:showCatName val="0"/>
          <c:showSerName val="0"/>
          <c:showPercent val="0"/>
          <c:showBubbleSize val="0"/>
        </c:dLbls>
        <c:axId val="81749888"/>
        <c:axId val="81756160"/>
      </c:scatterChart>
      <c:valAx>
        <c:axId val="81749888"/>
        <c:scaling>
          <c:orientation val="minMax"/>
          <c:max val="700"/>
          <c:min val="4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pt-BR" sz="1100" b="1">
                    <a:solidFill>
                      <a:sysClr val="windowText" lastClr="000000"/>
                    </a:solidFill>
                  </a:rPr>
                  <a:t>Comprimento</a:t>
                </a:r>
                <a:r>
                  <a:rPr lang="pt-BR" sz="1100" b="1" baseline="0">
                    <a:solidFill>
                      <a:sysClr val="windowText" lastClr="000000"/>
                    </a:solidFill>
                  </a:rPr>
                  <a:t> de Onda [nm]</a:t>
                </a:r>
                <a:endParaRPr lang="pt-BR" sz="1100" b="1">
                  <a:solidFill>
                    <a:sysClr val="windowText" lastClr="000000"/>
                  </a:solidFill>
                </a:endParaRPr>
              </a:p>
            </c:rich>
          </c:tx>
          <c:overlay val="0"/>
          <c:spPr>
            <a:noFill/>
            <a:ln w="25400">
              <a:noFill/>
            </a:ln>
          </c:spPr>
        </c:title>
        <c:numFmt formatCode="General" sourceLinked="1"/>
        <c:majorTickMark val="out"/>
        <c:minorTickMark val="none"/>
        <c:tickLblPos val="nextTo"/>
        <c:spPr>
          <a:noFill/>
          <a:ln w="9525" cap="flat" cmpd="sng" algn="ctr">
            <a:solidFill>
              <a:schemeClr val="tx1"/>
            </a:solidFill>
            <a:round/>
          </a:ln>
          <a:effectLst/>
        </c:spPr>
        <c:txPr>
          <a:bodyPr rot="0" vert="horz"/>
          <a:lstStyle/>
          <a:p>
            <a:pPr>
              <a:defRPr sz="900" b="1" i="0" u="none" strike="noStrike" baseline="0">
                <a:solidFill>
                  <a:srgbClr val="333333"/>
                </a:solidFill>
                <a:latin typeface="Calibri"/>
                <a:ea typeface="Calibri"/>
                <a:cs typeface="Calibri"/>
              </a:defRPr>
            </a:pPr>
            <a:endParaRPr lang="pt-BR"/>
          </a:p>
        </c:txPr>
        <c:crossAx val="81756160"/>
        <c:crosses val="autoZero"/>
        <c:crossBetween val="midCat"/>
        <c:majorUnit val="20"/>
        <c:minorUnit val="10"/>
      </c:valAx>
      <c:valAx>
        <c:axId val="81756160"/>
        <c:scaling>
          <c:orientation val="minMax"/>
          <c:max val="1.1200000000000001"/>
          <c:min val="0.95000000000000029"/>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pt-BR" sz="1100" b="1">
                    <a:solidFill>
                      <a:sysClr val="windowText" lastClr="000000"/>
                    </a:solidFill>
                  </a:rPr>
                  <a:t>Absorbância</a:t>
                </a:r>
              </a:p>
            </c:rich>
          </c:tx>
          <c:overlay val="0"/>
          <c:spPr>
            <a:noFill/>
            <a:ln w="25400">
              <a:noFill/>
            </a:ln>
          </c:spPr>
        </c:title>
        <c:numFmt formatCode="0.000" sourceLinked="0"/>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pt-BR"/>
          </a:p>
        </c:txPr>
        <c:crossAx val="81749888"/>
        <c:crossesAt val="1"/>
        <c:crossBetween val="midCat"/>
        <c:majorUnit val="5.0000000000000027E-3"/>
        <c:minorUnit val="1.0000000000000007E-3"/>
      </c:valAx>
      <c:spPr>
        <a:noFill/>
        <a:ln>
          <a:solidFill>
            <a:schemeClr val="tx1"/>
          </a:solidFill>
        </a:ln>
        <a:effectLst/>
      </c:spPr>
    </c:plotArea>
    <c:legend>
      <c:legendPos val="r"/>
      <c:layout>
        <c:manualLayout>
          <c:xMode val="edge"/>
          <c:yMode val="edge"/>
          <c:x val="0.83560865585443456"/>
          <c:y val="0.70683492610168319"/>
          <c:w val="9.3315329803427743E-2"/>
          <c:h val="0.12075401259316708"/>
        </c:manualLayout>
      </c:layout>
      <c:overlay val="0"/>
    </c:legend>
    <c:plotVisOnly val="1"/>
    <c:dispBlanksAs val="gap"/>
    <c:showDLblsOverMax val="0"/>
  </c:chart>
  <c:spPr>
    <a:solidFill>
      <a:schemeClr val="bg1"/>
    </a:solidFill>
    <a:ln w="9525" cap="flat" cmpd="sng" algn="ctr">
      <a:solidFill>
        <a:schemeClr val="tx1">
          <a:lumMod val="15000"/>
          <a:lumOff val="85000"/>
          <a:alpha val="99000"/>
        </a:schemeClr>
      </a:solidFill>
      <a:round/>
    </a:ln>
    <a:effectLst/>
  </c:spPr>
  <c:txPr>
    <a:bodyPr/>
    <a:lstStyle/>
    <a:p>
      <a:pPr>
        <a:defRPr/>
      </a:pPr>
      <a:endParaRPr lang="pt-BR"/>
    </a:p>
  </c:txPr>
  <c:printSettings>
    <c:headerFooter/>
    <c:pageMargins b="0.78740157499999996" l="0.511811024" r="0.511811024" t="0.78740157499999996" header="0.31496062000000014" footer="0.3149606200000001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b="1">
                <a:solidFill>
                  <a:sysClr val="windowText" lastClr="000000"/>
                </a:solidFill>
              </a:rPr>
              <a:t>Padrões</a:t>
            </a:r>
            <a:r>
              <a:rPr lang="pt-BR" b="1" baseline="0">
                <a:solidFill>
                  <a:sysClr val="windowText" lastClr="000000"/>
                </a:solidFill>
              </a:rPr>
              <a:t> de Densidade Neutra - Deriva para Absobância Nominal 0,5A</a:t>
            </a:r>
            <a:endParaRPr lang="pt-BR" b="1">
              <a:solidFill>
                <a:sysClr val="windowText" lastClr="000000"/>
              </a:solidFill>
            </a:endParaRPr>
          </a:p>
        </c:rich>
      </c:tx>
      <c:layout>
        <c:manualLayout>
          <c:xMode val="edge"/>
          <c:yMode val="edge"/>
          <c:x val="0.29732293578909602"/>
          <c:y val="0"/>
        </c:manualLayout>
      </c:layout>
      <c:overlay val="0"/>
      <c:spPr>
        <a:noFill/>
        <a:ln w="25400">
          <a:noFill/>
        </a:ln>
      </c:spPr>
    </c:title>
    <c:autoTitleDeleted val="0"/>
    <c:plotArea>
      <c:layout>
        <c:manualLayout>
          <c:layoutTarget val="inner"/>
          <c:xMode val="edge"/>
          <c:yMode val="edge"/>
          <c:x val="8.7750188055314288E-2"/>
          <c:y val="8.9380463502162458E-2"/>
          <c:w val="0.8776962551662536"/>
          <c:h val="0.8157319090939994"/>
        </c:manualLayout>
      </c:layout>
      <c:scatterChart>
        <c:scatterStyle val="smoothMarker"/>
        <c:varyColors val="0"/>
        <c:ser>
          <c:idx val="0"/>
          <c:order val="0"/>
          <c:tx>
            <c:v>Abs 0,5 - Vis</c:v>
          </c:tx>
          <c:spPr>
            <a:ln w="6350" cap="rnd">
              <a:solidFill>
                <a:sysClr val="windowText" lastClr="000000"/>
              </a:solidFill>
              <a:round/>
            </a:ln>
            <a:effectLst/>
          </c:spPr>
          <c:marker>
            <c:symbol val="circle"/>
            <c:size val="4"/>
            <c:spPr>
              <a:solidFill>
                <a:schemeClr val="tx1"/>
              </a:solidFill>
              <a:ln w="9525">
                <a:solidFill>
                  <a:sysClr val="windowText" lastClr="000000"/>
                </a:solidFill>
              </a:ln>
              <a:effectLst/>
            </c:spPr>
          </c:marker>
          <c:xVal>
            <c:numRef>
              <c:f>'Cadastro - Padrões Lambda'!$G$6:$K$6</c:f>
              <c:numCache>
                <c:formatCode>General</c:formatCode>
                <c:ptCount val="5"/>
                <c:pt idx="0">
                  <c:v>440</c:v>
                </c:pt>
                <c:pt idx="1">
                  <c:v>465</c:v>
                </c:pt>
                <c:pt idx="2">
                  <c:v>546.1</c:v>
                </c:pt>
                <c:pt idx="3">
                  <c:v>590</c:v>
                </c:pt>
                <c:pt idx="4">
                  <c:v>635</c:v>
                </c:pt>
              </c:numCache>
            </c:numRef>
          </c:xVal>
          <c:yVal>
            <c:numRef>
              <c:f>'Cadastro - Padrões Lambda'!$G$8:$K$8</c:f>
              <c:numCache>
                <c:formatCode>0.0000</c:formatCode>
                <c:ptCount val="5"/>
                <c:pt idx="0">
                  <c:v>0.55149999999999999</c:v>
                </c:pt>
                <c:pt idx="1">
                  <c:v>0.51400000000000001</c:v>
                </c:pt>
                <c:pt idx="2">
                  <c:v>0.51149999999999995</c:v>
                </c:pt>
                <c:pt idx="3">
                  <c:v>0.54459999999999997</c:v>
                </c:pt>
                <c:pt idx="4">
                  <c:v>0.55210000000000004</c:v>
                </c:pt>
              </c:numCache>
            </c:numRef>
          </c:yVal>
          <c:smooth val="1"/>
          <c:extLst>
            <c:ext xmlns:c16="http://schemas.microsoft.com/office/drawing/2014/chart" uri="{C3380CC4-5D6E-409C-BE32-E72D297353CC}">
              <c16:uniqueId val="{00000000-1FCA-4232-A307-2A7B0F2D9ABB}"/>
            </c:ext>
          </c:extLst>
        </c:ser>
        <c:ser>
          <c:idx val="1"/>
          <c:order val="1"/>
          <c:tx>
            <c:v>Abs 0,5 - IPT</c:v>
          </c:tx>
          <c:spPr>
            <a:ln w="3175"/>
          </c:spPr>
          <c:xVal>
            <c:numRef>
              <c:f>'Cadastro - Padrões Lambda'!$G$6:$K$6</c:f>
              <c:numCache>
                <c:formatCode>General</c:formatCode>
                <c:ptCount val="5"/>
                <c:pt idx="0">
                  <c:v>440</c:v>
                </c:pt>
                <c:pt idx="1">
                  <c:v>465</c:v>
                </c:pt>
                <c:pt idx="2">
                  <c:v>546.1</c:v>
                </c:pt>
                <c:pt idx="3">
                  <c:v>590</c:v>
                </c:pt>
                <c:pt idx="4">
                  <c:v>635</c:v>
                </c:pt>
              </c:numCache>
            </c:numRef>
          </c:xVal>
          <c:yVal>
            <c:numRef>
              <c:f>'Cadastro - Padrões Lambda'!$G$15:$K$15</c:f>
              <c:numCache>
                <c:formatCode>0.000</c:formatCode>
                <c:ptCount val="5"/>
                <c:pt idx="0">
                  <c:v>0.55500000000000005</c:v>
                </c:pt>
                <c:pt idx="1">
                  <c:v>0.51600000000000001</c:v>
                </c:pt>
                <c:pt idx="2">
                  <c:v>0.51200000000000001</c:v>
                </c:pt>
                <c:pt idx="3">
                  <c:v>0.54500000000000004</c:v>
                </c:pt>
                <c:pt idx="4">
                  <c:v>0.55200000000000005</c:v>
                </c:pt>
              </c:numCache>
            </c:numRef>
          </c:yVal>
          <c:smooth val="1"/>
          <c:extLst>
            <c:ext xmlns:c16="http://schemas.microsoft.com/office/drawing/2014/chart" uri="{C3380CC4-5D6E-409C-BE32-E72D297353CC}">
              <c16:uniqueId val="{00000001-1FCA-4232-A307-2A7B0F2D9ABB}"/>
            </c:ext>
          </c:extLst>
        </c:ser>
        <c:ser>
          <c:idx val="2"/>
          <c:order val="2"/>
          <c:tx>
            <c:v>Abs 0,5 - Sta</c:v>
          </c:tx>
          <c:spPr>
            <a:ln w="6350">
              <a:solidFill>
                <a:srgbClr val="00B050"/>
              </a:solidFill>
            </a:ln>
          </c:spPr>
          <c:marker>
            <c:symbol val="triangle"/>
            <c:size val="3"/>
            <c:spPr>
              <a:solidFill>
                <a:srgbClr val="00B050"/>
              </a:solidFill>
              <a:ln w="9525">
                <a:solidFill>
                  <a:srgbClr val="00B050"/>
                </a:solidFill>
              </a:ln>
            </c:spPr>
          </c:marker>
          <c:xVal>
            <c:numRef>
              <c:f>'Cadastro - Padrões Lambda'!$G$6:$K$6</c:f>
              <c:numCache>
                <c:formatCode>General</c:formatCode>
                <c:ptCount val="5"/>
                <c:pt idx="0">
                  <c:v>440</c:v>
                </c:pt>
                <c:pt idx="1">
                  <c:v>465</c:v>
                </c:pt>
                <c:pt idx="2">
                  <c:v>546.1</c:v>
                </c:pt>
                <c:pt idx="3">
                  <c:v>590</c:v>
                </c:pt>
                <c:pt idx="4">
                  <c:v>635</c:v>
                </c:pt>
              </c:numCache>
            </c:numRef>
          </c:xVal>
          <c:yVal>
            <c:numRef>
              <c:f>'Cadastro - Padrões Lambda'!$G$19:$K$19</c:f>
              <c:numCache>
                <c:formatCode>0.0000</c:formatCode>
                <c:ptCount val="5"/>
                <c:pt idx="0">
                  <c:v>0.55610000000000004</c:v>
                </c:pt>
                <c:pt idx="1">
                  <c:v>0.51700000000000002</c:v>
                </c:pt>
                <c:pt idx="2">
                  <c:v>0.51380000000000003</c:v>
                </c:pt>
                <c:pt idx="3">
                  <c:v>0.54669999999999996</c:v>
                </c:pt>
                <c:pt idx="4">
                  <c:v>0.55379999999999996</c:v>
                </c:pt>
              </c:numCache>
            </c:numRef>
          </c:yVal>
          <c:smooth val="1"/>
          <c:extLst>
            <c:ext xmlns:c16="http://schemas.microsoft.com/office/drawing/2014/chart" uri="{C3380CC4-5D6E-409C-BE32-E72D297353CC}">
              <c16:uniqueId val="{00000002-1FCA-4232-A307-2A7B0F2D9ABB}"/>
            </c:ext>
          </c:extLst>
        </c:ser>
        <c:dLbls>
          <c:showLegendKey val="0"/>
          <c:showVal val="0"/>
          <c:showCatName val="0"/>
          <c:showSerName val="0"/>
          <c:showPercent val="0"/>
          <c:showBubbleSize val="0"/>
        </c:dLbls>
        <c:axId val="81809408"/>
        <c:axId val="81811328"/>
      </c:scatterChart>
      <c:valAx>
        <c:axId val="81809408"/>
        <c:scaling>
          <c:orientation val="minMax"/>
          <c:max val="700"/>
          <c:min val="4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pt-BR" sz="1100" b="1">
                    <a:solidFill>
                      <a:sysClr val="windowText" lastClr="000000"/>
                    </a:solidFill>
                  </a:rPr>
                  <a:t>Comprimento</a:t>
                </a:r>
                <a:r>
                  <a:rPr lang="pt-BR" sz="1100" b="1" baseline="0">
                    <a:solidFill>
                      <a:sysClr val="windowText" lastClr="000000"/>
                    </a:solidFill>
                  </a:rPr>
                  <a:t> de Onda [nm]</a:t>
                </a:r>
                <a:endParaRPr lang="pt-BR" sz="1100" b="1">
                  <a:solidFill>
                    <a:sysClr val="windowText" lastClr="000000"/>
                  </a:solidFill>
                </a:endParaRPr>
              </a:p>
            </c:rich>
          </c:tx>
          <c:overlay val="0"/>
          <c:spPr>
            <a:noFill/>
            <a:ln w="25400">
              <a:noFill/>
            </a:ln>
          </c:spPr>
        </c:title>
        <c:numFmt formatCode="General" sourceLinked="1"/>
        <c:majorTickMark val="out"/>
        <c:minorTickMark val="none"/>
        <c:tickLblPos val="nextTo"/>
        <c:spPr>
          <a:noFill/>
          <a:ln w="9525" cap="flat" cmpd="sng" algn="ctr">
            <a:solidFill>
              <a:schemeClr val="tx1"/>
            </a:solidFill>
            <a:round/>
          </a:ln>
          <a:effectLst/>
        </c:spPr>
        <c:txPr>
          <a:bodyPr rot="0" vert="horz"/>
          <a:lstStyle/>
          <a:p>
            <a:pPr>
              <a:defRPr sz="900" b="1" i="0" u="none" strike="noStrike" baseline="0">
                <a:solidFill>
                  <a:srgbClr val="333333"/>
                </a:solidFill>
                <a:latin typeface="Calibri"/>
                <a:ea typeface="Calibri"/>
                <a:cs typeface="Calibri"/>
              </a:defRPr>
            </a:pPr>
            <a:endParaRPr lang="pt-BR"/>
          </a:p>
        </c:txPr>
        <c:crossAx val="81811328"/>
        <c:crosses val="autoZero"/>
        <c:crossBetween val="midCat"/>
        <c:majorUnit val="20"/>
        <c:minorUnit val="10"/>
      </c:valAx>
      <c:valAx>
        <c:axId val="81811328"/>
        <c:scaling>
          <c:orientation val="minMax"/>
          <c:max val="0.56000000000000005"/>
          <c:min val="0.5"/>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pt-BR" sz="1100" b="1">
                    <a:solidFill>
                      <a:sysClr val="windowText" lastClr="000000"/>
                    </a:solidFill>
                  </a:rPr>
                  <a:t>Absorbância</a:t>
                </a:r>
              </a:p>
            </c:rich>
          </c:tx>
          <c:overlay val="0"/>
          <c:spPr>
            <a:noFill/>
            <a:ln w="25400">
              <a:noFill/>
            </a:ln>
          </c:spPr>
        </c:title>
        <c:numFmt formatCode="0.000" sourceLinked="0"/>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pt-BR"/>
          </a:p>
        </c:txPr>
        <c:crossAx val="81809408"/>
        <c:crossesAt val="1"/>
        <c:crossBetween val="midCat"/>
        <c:majorUnit val="5.0000000000000027E-3"/>
        <c:minorUnit val="1.0000000000000007E-3"/>
      </c:valAx>
      <c:spPr>
        <a:noFill/>
        <a:ln>
          <a:solidFill>
            <a:schemeClr val="tx1"/>
          </a:solidFill>
        </a:ln>
        <a:effectLst/>
      </c:spPr>
    </c:plotArea>
    <c:legend>
      <c:legendPos val="r"/>
      <c:layout>
        <c:manualLayout>
          <c:xMode val="edge"/>
          <c:yMode val="edge"/>
          <c:x val="0.83232968711281052"/>
          <c:y val="0.70906089238845182"/>
          <c:w val="0.10303966339467685"/>
          <c:h val="0.1205527559055119"/>
        </c:manualLayout>
      </c:layout>
      <c:overlay val="0"/>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14" footer="0.3149606200000001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b="1">
                <a:solidFill>
                  <a:sysClr val="windowText" lastClr="000000"/>
                </a:solidFill>
              </a:rPr>
              <a:t>Padrões</a:t>
            </a:r>
            <a:r>
              <a:rPr lang="pt-BR" b="1" baseline="0">
                <a:solidFill>
                  <a:sysClr val="windowText" lastClr="000000"/>
                </a:solidFill>
              </a:rPr>
              <a:t> de Densidade Neutra - Deriva para Absorbância Nominal 0,25A</a:t>
            </a:r>
            <a:endParaRPr lang="pt-BR" b="1">
              <a:solidFill>
                <a:sysClr val="windowText" lastClr="000000"/>
              </a:solidFill>
            </a:endParaRPr>
          </a:p>
        </c:rich>
      </c:tx>
      <c:layout>
        <c:manualLayout>
          <c:xMode val="edge"/>
          <c:yMode val="edge"/>
          <c:x val="0.29732293578909602"/>
          <c:y val="0"/>
        </c:manualLayout>
      </c:layout>
      <c:overlay val="0"/>
      <c:spPr>
        <a:noFill/>
        <a:ln w="25400">
          <a:noFill/>
        </a:ln>
      </c:spPr>
    </c:title>
    <c:autoTitleDeleted val="0"/>
    <c:plotArea>
      <c:layout>
        <c:manualLayout>
          <c:layoutTarget val="inner"/>
          <c:xMode val="edge"/>
          <c:yMode val="edge"/>
          <c:x val="8.7750188055314288E-2"/>
          <c:y val="8.4928599284021092E-2"/>
          <c:w val="0.8776962551662536"/>
          <c:h val="0.8157319090939994"/>
        </c:manualLayout>
      </c:layout>
      <c:scatterChart>
        <c:scatterStyle val="smoothMarker"/>
        <c:varyColors val="0"/>
        <c:ser>
          <c:idx val="0"/>
          <c:order val="0"/>
          <c:tx>
            <c:v>Abs 0,25 - Vis</c:v>
          </c:tx>
          <c:spPr>
            <a:ln w="6350" cap="rnd">
              <a:solidFill>
                <a:sysClr val="windowText" lastClr="000000"/>
              </a:solidFill>
              <a:round/>
            </a:ln>
            <a:effectLst/>
          </c:spPr>
          <c:marker>
            <c:symbol val="circle"/>
            <c:size val="4"/>
            <c:spPr>
              <a:solidFill>
                <a:schemeClr val="tx1"/>
              </a:solidFill>
              <a:ln w="9525">
                <a:solidFill>
                  <a:sysClr val="windowText" lastClr="000000"/>
                </a:solidFill>
              </a:ln>
              <a:effectLst/>
            </c:spPr>
          </c:marker>
          <c:xVal>
            <c:numRef>
              <c:f>'Cadastro - Padrões Lambda'!$G$6:$K$6</c:f>
              <c:numCache>
                <c:formatCode>General</c:formatCode>
                <c:ptCount val="5"/>
                <c:pt idx="0">
                  <c:v>440</c:v>
                </c:pt>
                <c:pt idx="1">
                  <c:v>465</c:v>
                </c:pt>
                <c:pt idx="2">
                  <c:v>546.1</c:v>
                </c:pt>
                <c:pt idx="3">
                  <c:v>590</c:v>
                </c:pt>
                <c:pt idx="4">
                  <c:v>635</c:v>
                </c:pt>
              </c:numCache>
            </c:numRef>
          </c:xVal>
          <c:yVal>
            <c:numRef>
              <c:f>'Cadastro - Padrões Lambda'!$G$9:$K$9</c:f>
              <c:numCache>
                <c:formatCode>0.0000</c:formatCode>
                <c:ptCount val="5"/>
                <c:pt idx="0">
                  <c:v>0.2661</c:v>
                </c:pt>
                <c:pt idx="1">
                  <c:v>0.2412</c:v>
                </c:pt>
                <c:pt idx="2">
                  <c:v>0.2505</c:v>
                </c:pt>
                <c:pt idx="3">
                  <c:v>0.29399999999999998</c:v>
                </c:pt>
                <c:pt idx="4">
                  <c:v>0.30199999999999999</c:v>
                </c:pt>
              </c:numCache>
            </c:numRef>
          </c:yVal>
          <c:smooth val="1"/>
          <c:extLst>
            <c:ext xmlns:c16="http://schemas.microsoft.com/office/drawing/2014/chart" uri="{C3380CC4-5D6E-409C-BE32-E72D297353CC}">
              <c16:uniqueId val="{00000000-BB23-4419-803F-37E8E6678B7D}"/>
            </c:ext>
          </c:extLst>
        </c:ser>
        <c:ser>
          <c:idx val="1"/>
          <c:order val="1"/>
          <c:tx>
            <c:v>Abs 0,25 - IPT</c:v>
          </c:tx>
          <c:spPr>
            <a:ln w="3175"/>
          </c:spPr>
          <c:xVal>
            <c:numRef>
              <c:f>'Cadastro - Padrões Lambda'!$G$6:$K$6</c:f>
              <c:numCache>
                <c:formatCode>General</c:formatCode>
                <c:ptCount val="5"/>
                <c:pt idx="0">
                  <c:v>440</c:v>
                </c:pt>
                <c:pt idx="1">
                  <c:v>465</c:v>
                </c:pt>
                <c:pt idx="2">
                  <c:v>546.1</c:v>
                </c:pt>
                <c:pt idx="3">
                  <c:v>590</c:v>
                </c:pt>
                <c:pt idx="4">
                  <c:v>635</c:v>
                </c:pt>
              </c:numCache>
            </c:numRef>
          </c:xVal>
          <c:yVal>
            <c:numRef>
              <c:f>'Cadastro - Padrões Lambda'!$G$16:$K$16</c:f>
              <c:numCache>
                <c:formatCode>0.000</c:formatCode>
                <c:ptCount val="5"/>
                <c:pt idx="0">
                  <c:v>0.26900000000000002</c:v>
                </c:pt>
                <c:pt idx="1">
                  <c:v>0.24299999999999999</c:v>
                </c:pt>
                <c:pt idx="2">
                  <c:v>0.252</c:v>
                </c:pt>
                <c:pt idx="3">
                  <c:v>0.29499999999999998</c:v>
                </c:pt>
                <c:pt idx="4">
                  <c:v>0.30299999999999999</c:v>
                </c:pt>
              </c:numCache>
            </c:numRef>
          </c:yVal>
          <c:smooth val="1"/>
          <c:extLst>
            <c:ext xmlns:c16="http://schemas.microsoft.com/office/drawing/2014/chart" uri="{C3380CC4-5D6E-409C-BE32-E72D297353CC}">
              <c16:uniqueId val="{00000001-BB23-4419-803F-37E8E6678B7D}"/>
            </c:ext>
          </c:extLst>
        </c:ser>
        <c:ser>
          <c:idx val="2"/>
          <c:order val="2"/>
          <c:tx>
            <c:v>Abs 0,25 - Sta</c:v>
          </c:tx>
          <c:spPr>
            <a:ln w="6350">
              <a:solidFill>
                <a:srgbClr val="00B050"/>
              </a:solidFill>
            </a:ln>
          </c:spPr>
          <c:marker>
            <c:symbol val="triangle"/>
            <c:size val="3"/>
            <c:spPr>
              <a:solidFill>
                <a:srgbClr val="00B050"/>
              </a:solidFill>
              <a:ln>
                <a:solidFill>
                  <a:srgbClr val="00B050"/>
                </a:solidFill>
              </a:ln>
            </c:spPr>
          </c:marker>
          <c:xVal>
            <c:numRef>
              <c:f>'Cadastro - Padrões Lambda'!$G$6:$K$6</c:f>
              <c:numCache>
                <c:formatCode>General</c:formatCode>
                <c:ptCount val="5"/>
                <c:pt idx="0">
                  <c:v>440</c:v>
                </c:pt>
                <c:pt idx="1">
                  <c:v>465</c:v>
                </c:pt>
                <c:pt idx="2">
                  <c:v>546.1</c:v>
                </c:pt>
                <c:pt idx="3">
                  <c:v>590</c:v>
                </c:pt>
                <c:pt idx="4">
                  <c:v>635</c:v>
                </c:pt>
              </c:numCache>
            </c:numRef>
          </c:xVal>
          <c:yVal>
            <c:numRef>
              <c:f>'Cadastro - Padrões Lambda'!$G$20:$K$20</c:f>
              <c:numCache>
                <c:formatCode>0.0000</c:formatCode>
                <c:ptCount val="5"/>
                <c:pt idx="0">
                  <c:v>0.26889999999999997</c:v>
                </c:pt>
                <c:pt idx="1">
                  <c:v>0.24279999999999999</c:v>
                </c:pt>
                <c:pt idx="2">
                  <c:v>0.25159999999999999</c:v>
                </c:pt>
                <c:pt idx="3">
                  <c:v>0.29509999999999997</c:v>
                </c:pt>
                <c:pt idx="4">
                  <c:v>0.30299999999999999</c:v>
                </c:pt>
              </c:numCache>
            </c:numRef>
          </c:yVal>
          <c:smooth val="1"/>
          <c:extLst>
            <c:ext xmlns:c16="http://schemas.microsoft.com/office/drawing/2014/chart" uri="{C3380CC4-5D6E-409C-BE32-E72D297353CC}">
              <c16:uniqueId val="{00000002-BB23-4419-803F-37E8E6678B7D}"/>
            </c:ext>
          </c:extLst>
        </c:ser>
        <c:dLbls>
          <c:showLegendKey val="0"/>
          <c:showVal val="0"/>
          <c:showCatName val="0"/>
          <c:showSerName val="0"/>
          <c:showPercent val="0"/>
          <c:showBubbleSize val="0"/>
        </c:dLbls>
        <c:axId val="81868672"/>
        <c:axId val="81883136"/>
      </c:scatterChart>
      <c:valAx>
        <c:axId val="81868672"/>
        <c:scaling>
          <c:orientation val="minMax"/>
          <c:max val="700"/>
          <c:min val="4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pt-BR" sz="1100" b="1">
                    <a:solidFill>
                      <a:sysClr val="windowText" lastClr="000000"/>
                    </a:solidFill>
                  </a:rPr>
                  <a:t>Comprimento</a:t>
                </a:r>
                <a:r>
                  <a:rPr lang="pt-BR" sz="1100" b="1" baseline="0">
                    <a:solidFill>
                      <a:sysClr val="windowText" lastClr="000000"/>
                    </a:solidFill>
                  </a:rPr>
                  <a:t> de Onda [nm]</a:t>
                </a:r>
                <a:endParaRPr lang="pt-BR" sz="1100" b="1">
                  <a:solidFill>
                    <a:sysClr val="windowText" lastClr="000000"/>
                  </a:solidFill>
                </a:endParaRPr>
              </a:p>
            </c:rich>
          </c:tx>
          <c:overlay val="0"/>
          <c:spPr>
            <a:noFill/>
            <a:ln w="25400">
              <a:noFill/>
            </a:ln>
          </c:spPr>
        </c:title>
        <c:numFmt formatCode="General" sourceLinked="1"/>
        <c:majorTickMark val="out"/>
        <c:minorTickMark val="none"/>
        <c:tickLblPos val="nextTo"/>
        <c:spPr>
          <a:noFill/>
          <a:ln w="9525" cap="flat" cmpd="sng" algn="ctr">
            <a:solidFill>
              <a:schemeClr val="tx1"/>
            </a:solidFill>
            <a:round/>
          </a:ln>
          <a:effectLst/>
        </c:spPr>
        <c:txPr>
          <a:bodyPr rot="0" vert="horz"/>
          <a:lstStyle/>
          <a:p>
            <a:pPr>
              <a:defRPr sz="900" b="1" i="0" u="none" strike="noStrike" baseline="0">
                <a:solidFill>
                  <a:srgbClr val="333333"/>
                </a:solidFill>
                <a:latin typeface="Calibri"/>
                <a:ea typeface="Calibri"/>
                <a:cs typeface="Calibri"/>
              </a:defRPr>
            </a:pPr>
            <a:endParaRPr lang="pt-BR"/>
          </a:p>
        </c:txPr>
        <c:crossAx val="81883136"/>
        <c:crosses val="autoZero"/>
        <c:crossBetween val="midCat"/>
        <c:majorUnit val="20"/>
        <c:minorUnit val="10"/>
      </c:valAx>
      <c:valAx>
        <c:axId val="81883136"/>
        <c:scaling>
          <c:orientation val="minMax"/>
          <c:max val="0.31000000000000016"/>
          <c:min val="0.24000000000000007"/>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pt-BR" sz="1100" b="1">
                    <a:solidFill>
                      <a:sysClr val="windowText" lastClr="000000"/>
                    </a:solidFill>
                  </a:rPr>
                  <a:t>Absorbância</a:t>
                </a:r>
              </a:p>
            </c:rich>
          </c:tx>
          <c:overlay val="0"/>
          <c:spPr>
            <a:noFill/>
            <a:ln w="25400">
              <a:noFill/>
            </a:ln>
          </c:spPr>
        </c:title>
        <c:numFmt formatCode="0.000" sourceLinked="0"/>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pt-BR"/>
          </a:p>
        </c:txPr>
        <c:crossAx val="81868672"/>
        <c:crossesAt val="1"/>
        <c:crossBetween val="midCat"/>
        <c:majorUnit val="5.0000000000000027E-3"/>
        <c:minorUnit val="1.0000000000000007E-3"/>
      </c:valAx>
      <c:spPr>
        <a:noFill/>
        <a:ln>
          <a:solidFill>
            <a:schemeClr val="tx1"/>
          </a:solidFill>
        </a:ln>
        <a:effectLst/>
      </c:spPr>
    </c:plotArea>
    <c:legend>
      <c:legendPos val="r"/>
      <c:layout>
        <c:manualLayout>
          <c:xMode val="edge"/>
          <c:yMode val="edge"/>
          <c:x val="0.83607523048058363"/>
          <c:y val="0.7090608582107536"/>
          <c:w val="0.10955673893364487"/>
          <c:h val="0.12075401259316708"/>
        </c:manualLayout>
      </c:layout>
      <c:overlay val="0"/>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14" footer="0.3149606200000001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b="1">
                <a:solidFill>
                  <a:sysClr val="windowText" lastClr="000000"/>
                </a:solidFill>
              </a:rPr>
              <a:t>Padrões</a:t>
            </a:r>
            <a:r>
              <a:rPr lang="pt-BR" b="1" baseline="0">
                <a:solidFill>
                  <a:sysClr val="windowText" lastClr="000000"/>
                </a:solidFill>
              </a:rPr>
              <a:t> de Densidade Neutra - Última Calibração</a:t>
            </a:r>
            <a:endParaRPr lang="pt-BR" b="1">
              <a:solidFill>
                <a:sysClr val="windowText" lastClr="000000"/>
              </a:solidFill>
            </a:endParaRPr>
          </a:p>
        </c:rich>
      </c:tx>
      <c:layout>
        <c:manualLayout>
          <c:xMode val="edge"/>
          <c:yMode val="edge"/>
          <c:x val="0.32800368162072241"/>
          <c:y val="1.3355592654424039E-2"/>
        </c:manualLayout>
      </c:layout>
      <c:overlay val="0"/>
      <c:spPr>
        <a:noFill/>
        <a:ln w="25400">
          <a:noFill/>
        </a:ln>
      </c:spPr>
    </c:title>
    <c:autoTitleDeleted val="0"/>
    <c:plotArea>
      <c:layout>
        <c:manualLayout>
          <c:layoutTarget val="inner"/>
          <c:xMode val="edge"/>
          <c:yMode val="edge"/>
          <c:x val="8.6471848130111148E-2"/>
          <c:y val="7.1573070297877558E-2"/>
          <c:w val="0.8776962551662536"/>
          <c:h val="0.8157319090939994"/>
        </c:manualLayout>
      </c:layout>
      <c:scatterChart>
        <c:scatterStyle val="smoothMarker"/>
        <c:varyColors val="0"/>
        <c:ser>
          <c:idx val="0"/>
          <c:order val="0"/>
          <c:tx>
            <c:v>Abs 1 - Vis</c:v>
          </c:tx>
          <c:spPr>
            <a:ln w="158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xVal>
            <c:numRef>
              <c:f>'Cadastro - Padrões Absorbância'!$G$6:$K$6</c:f>
              <c:numCache>
                <c:formatCode>General</c:formatCode>
                <c:ptCount val="5"/>
                <c:pt idx="0">
                  <c:v>440</c:v>
                </c:pt>
                <c:pt idx="1">
                  <c:v>465</c:v>
                </c:pt>
                <c:pt idx="2">
                  <c:v>546.1</c:v>
                </c:pt>
                <c:pt idx="3">
                  <c:v>590</c:v>
                </c:pt>
                <c:pt idx="4">
                  <c:v>635</c:v>
                </c:pt>
              </c:numCache>
            </c:numRef>
          </c:xVal>
          <c:yVal>
            <c:numRef>
              <c:f>'Cadastro - Padrões Absorbância'!$G$14:$K$14</c:f>
              <c:numCache>
                <c:formatCode>0.0000</c:formatCode>
                <c:ptCount val="5"/>
                <c:pt idx="0">
                  <c:v>1.0057</c:v>
                </c:pt>
                <c:pt idx="1">
                  <c:v>0.95679999999999998</c:v>
                </c:pt>
                <c:pt idx="2">
                  <c:v>1.0011000000000001</c:v>
                </c:pt>
                <c:pt idx="3">
                  <c:v>1.0968</c:v>
                </c:pt>
                <c:pt idx="4">
                  <c:v>1.0894999999999999</c:v>
                </c:pt>
              </c:numCache>
            </c:numRef>
          </c:yVal>
          <c:smooth val="1"/>
          <c:extLst>
            <c:ext xmlns:c16="http://schemas.microsoft.com/office/drawing/2014/chart" uri="{C3380CC4-5D6E-409C-BE32-E72D297353CC}">
              <c16:uniqueId val="{00000000-7AA8-4B09-9242-7E7032618C7B}"/>
            </c:ext>
          </c:extLst>
        </c:ser>
        <c:ser>
          <c:idx val="3"/>
          <c:order val="1"/>
          <c:tx>
            <c:v>Abs 0,5 - Vis</c:v>
          </c:tx>
          <c:spPr>
            <a:ln w="15875" cap="rnd">
              <a:solidFill>
                <a:schemeClr val="accent5">
                  <a:lumMod val="75000"/>
                </a:schemeClr>
              </a:solidFill>
              <a:round/>
            </a:ln>
            <a:effectLst/>
          </c:spPr>
          <c:marker>
            <c:symbol val="circle"/>
            <c:size val="5"/>
            <c:spPr>
              <a:solidFill>
                <a:schemeClr val="accent4"/>
              </a:solidFill>
              <a:ln w="9525">
                <a:solidFill>
                  <a:schemeClr val="accent4"/>
                </a:solidFill>
              </a:ln>
              <a:effectLst/>
            </c:spPr>
          </c:marker>
          <c:xVal>
            <c:numRef>
              <c:f>'Cadastro - Padrões Absorbância'!$G$6:$K$6</c:f>
              <c:numCache>
                <c:formatCode>General</c:formatCode>
                <c:ptCount val="5"/>
                <c:pt idx="0">
                  <c:v>440</c:v>
                </c:pt>
                <c:pt idx="1">
                  <c:v>465</c:v>
                </c:pt>
                <c:pt idx="2">
                  <c:v>546.1</c:v>
                </c:pt>
                <c:pt idx="3">
                  <c:v>590</c:v>
                </c:pt>
                <c:pt idx="4">
                  <c:v>635</c:v>
                </c:pt>
              </c:numCache>
            </c:numRef>
          </c:xVal>
          <c:yVal>
            <c:numRef>
              <c:f>'Cadastro - Padrões Absorbância'!$G$15:$K$15</c:f>
              <c:numCache>
                <c:formatCode>0.0000</c:formatCode>
                <c:ptCount val="5"/>
                <c:pt idx="0">
                  <c:v>0.55149999999999999</c:v>
                </c:pt>
                <c:pt idx="1">
                  <c:v>0.51400000000000001</c:v>
                </c:pt>
                <c:pt idx="2">
                  <c:v>0.51149999999999995</c:v>
                </c:pt>
                <c:pt idx="3">
                  <c:v>0.54459999999999997</c:v>
                </c:pt>
                <c:pt idx="4">
                  <c:v>0.55210000000000004</c:v>
                </c:pt>
              </c:numCache>
            </c:numRef>
          </c:yVal>
          <c:smooth val="1"/>
          <c:extLst>
            <c:ext xmlns:c16="http://schemas.microsoft.com/office/drawing/2014/chart" uri="{C3380CC4-5D6E-409C-BE32-E72D297353CC}">
              <c16:uniqueId val="{00000001-7AA8-4B09-9242-7E7032618C7B}"/>
            </c:ext>
          </c:extLst>
        </c:ser>
        <c:ser>
          <c:idx val="1"/>
          <c:order val="2"/>
          <c:tx>
            <c:v>Abs 0,25 - Vis</c:v>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'Cadastro - Padrões Absorbância'!$G$6:$K$6</c:f>
              <c:numCache>
                <c:formatCode>General</c:formatCode>
                <c:ptCount val="5"/>
                <c:pt idx="0">
                  <c:v>440</c:v>
                </c:pt>
                <c:pt idx="1">
                  <c:v>465</c:v>
                </c:pt>
                <c:pt idx="2">
                  <c:v>546.1</c:v>
                </c:pt>
                <c:pt idx="3">
                  <c:v>590</c:v>
                </c:pt>
                <c:pt idx="4">
                  <c:v>635</c:v>
                </c:pt>
              </c:numCache>
            </c:numRef>
          </c:xVal>
          <c:yVal>
            <c:numRef>
              <c:f>'Cadastro - Padrões Absorbância'!$G$16:$K$16</c:f>
              <c:numCache>
                <c:formatCode>0.0000</c:formatCode>
                <c:ptCount val="5"/>
                <c:pt idx="0">
                  <c:v>0.2661</c:v>
                </c:pt>
                <c:pt idx="1">
                  <c:v>0.2412</c:v>
                </c:pt>
                <c:pt idx="2">
                  <c:v>0.2505</c:v>
                </c:pt>
                <c:pt idx="3">
                  <c:v>0.29399999999999998</c:v>
                </c:pt>
                <c:pt idx="4">
                  <c:v>0.30199999999999999</c:v>
                </c:pt>
              </c:numCache>
            </c:numRef>
          </c:yVal>
          <c:smooth val="1"/>
          <c:extLst>
            <c:ext xmlns:c16="http://schemas.microsoft.com/office/drawing/2014/chart" uri="{C3380CC4-5D6E-409C-BE32-E72D297353CC}">
              <c16:uniqueId val="{00000002-7AA8-4B09-9242-7E7032618C7B}"/>
            </c:ext>
          </c:extLst>
        </c:ser>
        <c:dLbls>
          <c:showLegendKey val="0"/>
          <c:showVal val="0"/>
          <c:showCatName val="0"/>
          <c:showSerName val="0"/>
          <c:showPercent val="0"/>
          <c:showBubbleSize val="0"/>
        </c:dLbls>
        <c:axId val="82035072"/>
        <c:axId val="82036992"/>
      </c:scatterChart>
      <c:valAx>
        <c:axId val="82035072"/>
        <c:scaling>
          <c:orientation val="minMax"/>
          <c:max val="700"/>
          <c:min val="4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pt-BR" sz="1100" b="1">
                    <a:solidFill>
                      <a:sysClr val="windowText" lastClr="000000"/>
                    </a:solidFill>
                  </a:rPr>
                  <a:t>Comprimento</a:t>
                </a:r>
                <a:r>
                  <a:rPr lang="pt-BR" sz="1100" b="1" baseline="0">
                    <a:solidFill>
                      <a:sysClr val="windowText" lastClr="000000"/>
                    </a:solidFill>
                  </a:rPr>
                  <a:t> de Onda [nm]</a:t>
                </a:r>
                <a:endParaRPr lang="pt-BR" sz="1100" b="1">
                  <a:solidFill>
                    <a:sysClr val="windowText" lastClr="000000"/>
                  </a:solidFill>
                </a:endParaRPr>
              </a:p>
            </c:rich>
          </c:tx>
          <c:overlay val="0"/>
          <c:spPr>
            <a:noFill/>
            <a:ln w="25400">
              <a:noFill/>
            </a:ln>
          </c:spPr>
        </c:title>
        <c:numFmt formatCode="General" sourceLinked="1"/>
        <c:majorTickMark val="out"/>
        <c:minorTickMark val="none"/>
        <c:tickLblPos val="nextTo"/>
        <c:spPr>
          <a:noFill/>
          <a:ln w="9525" cap="flat" cmpd="sng" algn="ctr">
            <a:solidFill>
              <a:schemeClr val="tx1"/>
            </a:solidFill>
            <a:round/>
          </a:ln>
          <a:effectLst/>
        </c:spPr>
        <c:txPr>
          <a:bodyPr rot="0" vert="horz"/>
          <a:lstStyle/>
          <a:p>
            <a:pPr>
              <a:defRPr sz="900" b="1" i="0" u="none" strike="noStrike" baseline="0">
                <a:solidFill>
                  <a:srgbClr val="333333"/>
                </a:solidFill>
                <a:latin typeface="Calibri"/>
                <a:ea typeface="Calibri"/>
                <a:cs typeface="Calibri"/>
              </a:defRPr>
            </a:pPr>
            <a:endParaRPr lang="pt-BR"/>
          </a:p>
        </c:txPr>
        <c:crossAx val="82036992"/>
        <c:crosses val="autoZero"/>
        <c:crossBetween val="midCat"/>
        <c:majorUnit val="20"/>
        <c:minorUnit val="10"/>
      </c:valAx>
      <c:valAx>
        <c:axId val="82036992"/>
        <c:scaling>
          <c:orientation val="minMax"/>
          <c:max val="1.2"/>
          <c:min val="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pt-BR" sz="1100" b="1">
                    <a:solidFill>
                      <a:sysClr val="windowText" lastClr="000000"/>
                    </a:solidFill>
                  </a:rPr>
                  <a:t>Absorbância</a:t>
                </a:r>
              </a:p>
            </c:rich>
          </c:tx>
          <c:overlay val="0"/>
          <c:spPr>
            <a:noFill/>
            <a:ln w="25400">
              <a:noFill/>
            </a:ln>
          </c:spPr>
        </c:title>
        <c:numFmt formatCode="0.000" sourceLinked="0"/>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pt-BR"/>
          </a:p>
        </c:txPr>
        <c:crossAx val="82035072"/>
        <c:crossesAt val="1"/>
        <c:crossBetween val="midCat"/>
        <c:majorUnit val="5.0000000000000024E-2"/>
        <c:minorUnit val="5.0000000000000027E-3"/>
      </c:valAx>
      <c:spPr>
        <a:noFill/>
        <a:ln>
          <a:solidFill>
            <a:schemeClr val="tx1"/>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14" footer="0.3149606200000001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b="1">
                <a:solidFill>
                  <a:sysClr val="windowText" lastClr="000000"/>
                </a:solidFill>
              </a:rPr>
              <a:t>Padrões</a:t>
            </a:r>
            <a:r>
              <a:rPr lang="pt-BR" b="1" baseline="0">
                <a:solidFill>
                  <a:sysClr val="windowText" lastClr="000000"/>
                </a:solidFill>
              </a:rPr>
              <a:t> de Densidade Neutra - Deriva para Absorbância Nominal 1A</a:t>
            </a:r>
            <a:endParaRPr lang="pt-BR" b="1">
              <a:solidFill>
                <a:sysClr val="windowText" lastClr="000000"/>
              </a:solidFill>
            </a:endParaRPr>
          </a:p>
        </c:rich>
      </c:tx>
      <c:layout>
        <c:manualLayout>
          <c:xMode val="edge"/>
          <c:yMode val="edge"/>
          <c:x val="0.29732293578909602"/>
          <c:y val="0"/>
        </c:manualLayout>
      </c:layout>
      <c:overlay val="0"/>
      <c:spPr>
        <a:noFill/>
        <a:ln w="25400">
          <a:noFill/>
        </a:ln>
      </c:spPr>
    </c:title>
    <c:autoTitleDeleted val="0"/>
    <c:plotArea>
      <c:layout>
        <c:manualLayout>
          <c:layoutTarget val="inner"/>
          <c:xMode val="edge"/>
          <c:yMode val="edge"/>
          <c:x val="8.7750182818363318E-2"/>
          <c:y val="8.9380463502162458E-2"/>
          <c:w val="0.8776962551662536"/>
          <c:h val="0.8157319090939994"/>
        </c:manualLayout>
      </c:layout>
      <c:scatterChart>
        <c:scatterStyle val="smoothMarker"/>
        <c:varyColors val="0"/>
        <c:ser>
          <c:idx val="0"/>
          <c:order val="0"/>
          <c:tx>
            <c:v>Abs 1 - Vis</c:v>
          </c:tx>
          <c:spPr>
            <a:ln w="3175" cap="rnd">
              <a:solidFill>
                <a:sysClr val="windowText" lastClr="000000"/>
              </a:solidFill>
              <a:round/>
            </a:ln>
            <a:effectLst/>
          </c:spPr>
          <c:marker>
            <c:symbol val="circle"/>
            <c:size val="4"/>
            <c:spPr>
              <a:solidFill>
                <a:schemeClr val="tx1"/>
              </a:solidFill>
              <a:ln w="9525">
                <a:solidFill>
                  <a:sysClr val="windowText" lastClr="000000"/>
                </a:solidFill>
              </a:ln>
              <a:effectLst/>
            </c:spPr>
          </c:marker>
          <c:xVal>
            <c:numRef>
              <c:f>'Cadastro - Padrões Absorbância'!$G$6:$K$6</c:f>
              <c:numCache>
                <c:formatCode>General</c:formatCode>
                <c:ptCount val="5"/>
                <c:pt idx="0">
                  <c:v>440</c:v>
                </c:pt>
                <c:pt idx="1">
                  <c:v>465</c:v>
                </c:pt>
                <c:pt idx="2">
                  <c:v>546.1</c:v>
                </c:pt>
                <c:pt idx="3">
                  <c:v>590</c:v>
                </c:pt>
                <c:pt idx="4">
                  <c:v>635</c:v>
                </c:pt>
              </c:numCache>
            </c:numRef>
          </c:xVal>
          <c:yVal>
            <c:numRef>
              <c:f>'Cadastro - Padrões Absorbância'!$G$14:$K$14</c:f>
              <c:numCache>
                <c:formatCode>0.0000</c:formatCode>
                <c:ptCount val="5"/>
                <c:pt idx="0">
                  <c:v>1.0057</c:v>
                </c:pt>
                <c:pt idx="1">
                  <c:v>0.95679999999999998</c:v>
                </c:pt>
                <c:pt idx="2">
                  <c:v>1.0011000000000001</c:v>
                </c:pt>
                <c:pt idx="3">
                  <c:v>1.0968</c:v>
                </c:pt>
                <c:pt idx="4">
                  <c:v>1.0894999999999999</c:v>
                </c:pt>
              </c:numCache>
            </c:numRef>
          </c:yVal>
          <c:smooth val="1"/>
          <c:extLst>
            <c:ext xmlns:c16="http://schemas.microsoft.com/office/drawing/2014/chart" uri="{C3380CC4-5D6E-409C-BE32-E72D297353CC}">
              <c16:uniqueId val="{00000000-93DE-494D-BCA5-F801B41FF6DC}"/>
            </c:ext>
          </c:extLst>
        </c:ser>
        <c:ser>
          <c:idx val="1"/>
          <c:order val="1"/>
          <c:tx>
            <c:v>Abs 1 - IPT</c:v>
          </c:tx>
          <c:spPr>
            <a:ln w="3175"/>
          </c:spPr>
          <c:xVal>
            <c:numRef>
              <c:f>'Cadastro - Padrões Absorbância'!$G$6:$K$6</c:f>
              <c:numCache>
                <c:formatCode>General</c:formatCode>
                <c:ptCount val="5"/>
                <c:pt idx="0">
                  <c:v>440</c:v>
                </c:pt>
                <c:pt idx="1">
                  <c:v>465</c:v>
                </c:pt>
                <c:pt idx="2">
                  <c:v>546.1</c:v>
                </c:pt>
                <c:pt idx="3">
                  <c:v>590</c:v>
                </c:pt>
                <c:pt idx="4">
                  <c:v>635</c:v>
                </c:pt>
              </c:numCache>
            </c:numRef>
          </c:xVal>
          <c:yVal>
            <c:numRef>
              <c:f>'Cadastro - Padrões Absorbância'!$G$21:$K$21</c:f>
              <c:numCache>
                <c:formatCode>0.000</c:formatCode>
                <c:ptCount val="5"/>
                <c:pt idx="0">
                  <c:v>1.0089999999999999</c:v>
                </c:pt>
                <c:pt idx="1">
                  <c:v>0.95799999999999996</c:v>
                </c:pt>
                <c:pt idx="2">
                  <c:v>1.0009999999999999</c:v>
                </c:pt>
                <c:pt idx="3">
                  <c:v>1.097</c:v>
                </c:pt>
                <c:pt idx="4">
                  <c:v>1.089</c:v>
                </c:pt>
              </c:numCache>
            </c:numRef>
          </c:yVal>
          <c:smooth val="1"/>
          <c:extLst>
            <c:ext xmlns:c16="http://schemas.microsoft.com/office/drawing/2014/chart" uri="{C3380CC4-5D6E-409C-BE32-E72D297353CC}">
              <c16:uniqueId val="{00000001-93DE-494D-BCA5-F801B41FF6DC}"/>
            </c:ext>
          </c:extLst>
        </c:ser>
        <c:ser>
          <c:idx val="2"/>
          <c:order val="2"/>
          <c:tx>
            <c:v>Abs 1 - Sta</c:v>
          </c:tx>
          <c:spPr>
            <a:ln w="9525" cmpd="sng">
              <a:solidFill>
                <a:srgbClr val="00B050"/>
              </a:solidFill>
              <a:headEnd type="none" w="sm" len="sm"/>
            </a:ln>
          </c:spPr>
          <c:marker>
            <c:symbol val="triangle"/>
            <c:size val="3"/>
            <c:spPr>
              <a:solidFill>
                <a:srgbClr val="00B050"/>
              </a:solidFill>
              <a:ln cmpd="sng">
                <a:solidFill>
                  <a:srgbClr val="00B050"/>
                </a:solidFill>
              </a:ln>
            </c:spPr>
          </c:marker>
          <c:xVal>
            <c:numRef>
              <c:f>'Cadastro - Padrões Absorbância'!$G$6:$K$6</c:f>
              <c:numCache>
                <c:formatCode>General</c:formatCode>
                <c:ptCount val="5"/>
                <c:pt idx="0">
                  <c:v>440</c:v>
                </c:pt>
                <c:pt idx="1">
                  <c:v>465</c:v>
                </c:pt>
                <c:pt idx="2">
                  <c:v>546.1</c:v>
                </c:pt>
                <c:pt idx="3">
                  <c:v>590</c:v>
                </c:pt>
                <c:pt idx="4">
                  <c:v>635</c:v>
                </c:pt>
              </c:numCache>
            </c:numRef>
          </c:xVal>
          <c:yVal>
            <c:numRef>
              <c:f>'Cadastro - Padrões Absorbância'!$G$25:$K$25</c:f>
              <c:numCache>
                <c:formatCode>0.0000</c:formatCode>
                <c:ptCount val="5"/>
                <c:pt idx="0">
                  <c:v>1.0093000000000001</c:v>
                </c:pt>
                <c:pt idx="1">
                  <c:v>0.95820000000000005</c:v>
                </c:pt>
                <c:pt idx="2">
                  <c:v>1.0021</c:v>
                </c:pt>
                <c:pt idx="3">
                  <c:v>1.0980000000000001</c:v>
                </c:pt>
                <c:pt idx="4">
                  <c:v>1.0900000000000001</c:v>
                </c:pt>
              </c:numCache>
            </c:numRef>
          </c:yVal>
          <c:smooth val="1"/>
          <c:extLst>
            <c:ext xmlns:c16="http://schemas.microsoft.com/office/drawing/2014/chart" uri="{C3380CC4-5D6E-409C-BE32-E72D297353CC}">
              <c16:uniqueId val="{00000002-93DE-494D-BCA5-F801B41FF6DC}"/>
            </c:ext>
          </c:extLst>
        </c:ser>
        <c:dLbls>
          <c:showLegendKey val="0"/>
          <c:showVal val="0"/>
          <c:showCatName val="0"/>
          <c:showSerName val="0"/>
          <c:showPercent val="0"/>
          <c:showBubbleSize val="0"/>
        </c:dLbls>
        <c:axId val="81979264"/>
        <c:axId val="83099648"/>
      </c:scatterChart>
      <c:valAx>
        <c:axId val="81979264"/>
        <c:scaling>
          <c:orientation val="minMax"/>
          <c:max val="700"/>
          <c:min val="4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pt-BR" sz="1100" b="1">
                    <a:solidFill>
                      <a:sysClr val="windowText" lastClr="000000"/>
                    </a:solidFill>
                  </a:rPr>
                  <a:t>Comprimento</a:t>
                </a:r>
                <a:r>
                  <a:rPr lang="pt-BR" sz="1100" b="1" baseline="0">
                    <a:solidFill>
                      <a:sysClr val="windowText" lastClr="000000"/>
                    </a:solidFill>
                  </a:rPr>
                  <a:t> de Onda [nm]</a:t>
                </a:r>
                <a:endParaRPr lang="pt-BR" sz="1100" b="1">
                  <a:solidFill>
                    <a:sysClr val="windowText" lastClr="000000"/>
                  </a:solidFill>
                </a:endParaRPr>
              </a:p>
            </c:rich>
          </c:tx>
          <c:overlay val="0"/>
          <c:spPr>
            <a:noFill/>
            <a:ln w="25400">
              <a:noFill/>
            </a:ln>
          </c:spPr>
        </c:title>
        <c:numFmt formatCode="General" sourceLinked="1"/>
        <c:majorTickMark val="out"/>
        <c:minorTickMark val="none"/>
        <c:tickLblPos val="nextTo"/>
        <c:spPr>
          <a:noFill/>
          <a:ln w="9525" cap="flat" cmpd="sng" algn="ctr">
            <a:solidFill>
              <a:schemeClr val="tx1"/>
            </a:solidFill>
            <a:round/>
          </a:ln>
          <a:effectLst/>
        </c:spPr>
        <c:txPr>
          <a:bodyPr rot="0" vert="horz"/>
          <a:lstStyle/>
          <a:p>
            <a:pPr>
              <a:defRPr sz="900" b="1" i="0" u="none" strike="noStrike" baseline="0">
                <a:solidFill>
                  <a:srgbClr val="333333"/>
                </a:solidFill>
                <a:latin typeface="Calibri"/>
                <a:ea typeface="Calibri"/>
                <a:cs typeface="Calibri"/>
              </a:defRPr>
            </a:pPr>
            <a:endParaRPr lang="pt-BR"/>
          </a:p>
        </c:txPr>
        <c:crossAx val="83099648"/>
        <c:crosses val="autoZero"/>
        <c:crossBetween val="midCat"/>
        <c:majorUnit val="20"/>
        <c:minorUnit val="10"/>
      </c:valAx>
      <c:valAx>
        <c:axId val="83099648"/>
        <c:scaling>
          <c:orientation val="minMax"/>
          <c:max val="1.1200000000000001"/>
          <c:min val="0.95000000000000029"/>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pt-BR" sz="1100" b="1">
                    <a:solidFill>
                      <a:sysClr val="windowText" lastClr="000000"/>
                    </a:solidFill>
                  </a:rPr>
                  <a:t>Absorbância</a:t>
                </a:r>
              </a:p>
            </c:rich>
          </c:tx>
          <c:overlay val="0"/>
          <c:spPr>
            <a:noFill/>
            <a:ln w="25400">
              <a:noFill/>
            </a:ln>
          </c:spPr>
        </c:title>
        <c:numFmt formatCode="0.000" sourceLinked="0"/>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pt-BR"/>
          </a:p>
        </c:txPr>
        <c:crossAx val="81979264"/>
        <c:crossesAt val="1"/>
        <c:crossBetween val="midCat"/>
        <c:majorUnit val="5.0000000000000027E-3"/>
        <c:minorUnit val="1.0000000000000007E-3"/>
      </c:valAx>
      <c:spPr>
        <a:noFill/>
        <a:ln>
          <a:solidFill>
            <a:schemeClr val="tx1"/>
          </a:solidFill>
        </a:ln>
        <a:effectLst/>
      </c:spPr>
    </c:plotArea>
    <c:legend>
      <c:legendPos val="r"/>
      <c:layout>
        <c:manualLayout>
          <c:xMode val="edge"/>
          <c:yMode val="edge"/>
          <c:x val="0.83560865585443456"/>
          <c:y val="0.7068349214968821"/>
          <c:w val="9.3315329803427743E-2"/>
          <c:h val="0.11894875209564315"/>
        </c:manualLayout>
      </c:layout>
      <c:overlay val="0"/>
    </c:legend>
    <c:plotVisOnly val="1"/>
    <c:dispBlanksAs val="gap"/>
    <c:showDLblsOverMax val="0"/>
  </c:chart>
  <c:spPr>
    <a:solidFill>
      <a:schemeClr val="bg1"/>
    </a:solidFill>
    <a:ln w="9525" cap="flat" cmpd="sng" algn="ctr">
      <a:solidFill>
        <a:schemeClr val="tx1">
          <a:lumMod val="15000"/>
          <a:lumOff val="85000"/>
          <a:alpha val="99000"/>
        </a:schemeClr>
      </a:solidFill>
      <a:round/>
    </a:ln>
    <a:effectLst/>
  </c:spPr>
  <c:txPr>
    <a:bodyPr/>
    <a:lstStyle/>
    <a:p>
      <a:pPr>
        <a:defRPr/>
      </a:pPr>
      <a:endParaRPr lang="pt-BR"/>
    </a:p>
  </c:txPr>
  <c:printSettings>
    <c:headerFooter/>
    <c:pageMargins b="0.78740157499999996" l="0.511811024" r="0.511811024" t="0.78740157499999996" header="0.31496062000000014" footer="0.31496062000000014"/>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b="1">
                <a:solidFill>
                  <a:sysClr val="windowText" lastClr="000000"/>
                </a:solidFill>
              </a:rPr>
              <a:t>Padrões</a:t>
            </a:r>
            <a:r>
              <a:rPr lang="pt-BR" b="1" baseline="0">
                <a:solidFill>
                  <a:sysClr val="windowText" lastClr="000000"/>
                </a:solidFill>
              </a:rPr>
              <a:t> de Densidade Neutra - Deriva para Absobância Nominal 0,5A</a:t>
            </a:r>
            <a:endParaRPr lang="pt-BR" b="1">
              <a:solidFill>
                <a:sysClr val="windowText" lastClr="000000"/>
              </a:solidFill>
            </a:endParaRPr>
          </a:p>
        </c:rich>
      </c:tx>
      <c:layout>
        <c:manualLayout>
          <c:xMode val="edge"/>
          <c:yMode val="edge"/>
          <c:x val="0.29732293578909602"/>
          <c:y val="0"/>
        </c:manualLayout>
      </c:layout>
      <c:overlay val="0"/>
      <c:spPr>
        <a:noFill/>
        <a:ln w="25400">
          <a:noFill/>
        </a:ln>
      </c:spPr>
    </c:title>
    <c:autoTitleDeleted val="0"/>
    <c:plotArea>
      <c:layout>
        <c:manualLayout>
          <c:layoutTarget val="inner"/>
          <c:xMode val="edge"/>
          <c:yMode val="edge"/>
          <c:x val="8.7750188055314288E-2"/>
          <c:y val="8.9380463502162458E-2"/>
          <c:w val="0.8776962551662536"/>
          <c:h val="0.8157319090939994"/>
        </c:manualLayout>
      </c:layout>
      <c:scatterChart>
        <c:scatterStyle val="smoothMarker"/>
        <c:varyColors val="0"/>
        <c:ser>
          <c:idx val="0"/>
          <c:order val="0"/>
          <c:tx>
            <c:v>Abs 0,5 - Vis</c:v>
          </c:tx>
          <c:spPr>
            <a:ln w="6350" cap="rnd">
              <a:solidFill>
                <a:sysClr val="windowText" lastClr="000000"/>
              </a:solidFill>
              <a:round/>
            </a:ln>
            <a:effectLst/>
          </c:spPr>
          <c:marker>
            <c:symbol val="circle"/>
            <c:size val="4"/>
            <c:spPr>
              <a:solidFill>
                <a:schemeClr val="tx1"/>
              </a:solidFill>
              <a:ln w="9525">
                <a:solidFill>
                  <a:sysClr val="windowText" lastClr="000000"/>
                </a:solidFill>
              </a:ln>
              <a:effectLst/>
            </c:spPr>
          </c:marker>
          <c:xVal>
            <c:numRef>
              <c:f>'Cadastro - Padrões Absorbância'!$G$6:$K$6</c:f>
              <c:numCache>
                <c:formatCode>General</c:formatCode>
                <c:ptCount val="5"/>
                <c:pt idx="0">
                  <c:v>440</c:v>
                </c:pt>
                <c:pt idx="1">
                  <c:v>465</c:v>
                </c:pt>
                <c:pt idx="2">
                  <c:v>546.1</c:v>
                </c:pt>
                <c:pt idx="3">
                  <c:v>590</c:v>
                </c:pt>
                <c:pt idx="4">
                  <c:v>635</c:v>
                </c:pt>
              </c:numCache>
            </c:numRef>
          </c:xVal>
          <c:yVal>
            <c:numRef>
              <c:f>'Cadastro - Padrões Absorbância'!$G$15:$K$15</c:f>
              <c:numCache>
                <c:formatCode>0.0000</c:formatCode>
                <c:ptCount val="5"/>
                <c:pt idx="0">
                  <c:v>0.55149999999999999</c:v>
                </c:pt>
                <c:pt idx="1">
                  <c:v>0.51400000000000001</c:v>
                </c:pt>
                <c:pt idx="2">
                  <c:v>0.51149999999999995</c:v>
                </c:pt>
                <c:pt idx="3">
                  <c:v>0.54459999999999997</c:v>
                </c:pt>
                <c:pt idx="4">
                  <c:v>0.55210000000000004</c:v>
                </c:pt>
              </c:numCache>
            </c:numRef>
          </c:yVal>
          <c:smooth val="1"/>
          <c:extLst>
            <c:ext xmlns:c16="http://schemas.microsoft.com/office/drawing/2014/chart" uri="{C3380CC4-5D6E-409C-BE32-E72D297353CC}">
              <c16:uniqueId val="{00000000-B53F-4A35-BE0E-4A8F3C801101}"/>
            </c:ext>
          </c:extLst>
        </c:ser>
        <c:ser>
          <c:idx val="1"/>
          <c:order val="1"/>
          <c:tx>
            <c:v>Abs 0,5 - IPT</c:v>
          </c:tx>
          <c:spPr>
            <a:ln w="3175"/>
          </c:spPr>
          <c:xVal>
            <c:numRef>
              <c:f>'Cadastro - Padrões Absorbância'!$G$6:$K$6</c:f>
              <c:numCache>
                <c:formatCode>General</c:formatCode>
                <c:ptCount val="5"/>
                <c:pt idx="0">
                  <c:v>440</c:v>
                </c:pt>
                <c:pt idx="1">
                  <c:v>465</c:v>
                </c:pt>
                <c:pt idx="2">
                  <c:v>546.1</c:v>
                </c:pt>
                <c:pt idx="3">
                  <c:v>590</c:v>
                </c:pt>
                <c:pt idx="4">
                  <c:v>635</c:v>
                </c:pt>
              </c:numCache>
            </c:numRef>
          </c:xVal>
          <c:yVal>
            <c:numRef>
              <c:f>'Cadastro - Padrões Absorbância'!$G$22:$K$22</c:f>
              <c:numCache>
                <c:formatCode>0.000</c:formatCode>
                <c:ptCount val="5"/>
                <c:pt idx="0">
                  <c:v>0.55500000000000005</c:v>
                </c:pt>
                <c:pt idx="1">
                  <c:v>0.51600000000000001</c:v>
                </c:pt>
                <c:pt idx="2">
                  <c:v>0.51200000000000001</c:v>
                </c:pt>
                <c:pt idx="3">
                  <c:v>0.54500000000000004</c:v>
                </c:pt>
                <c:pt idx="4">
                  <c:v>0.55200000000000005</c:v>
                </c:pt>
              </c:numCache>
            </c:numRef>
          </c:yVal>
          <c:smooth val="1"/>
          <c:extLst>
            <c:ext xmlns:c16="http://schemas.microsoft.com/office/drawing/2014/chart" uri="{C3380CC4-5D6E-409C-BE32-E72D297353CC}">
              <c16:uniqueId val="{00000001-B53F-4A35-BE0E-4A8F3C801101}"/>
            </c:ext>
          </c:extLst>
        </c:ser>
        <c:ser>
          <c:idx val="2"/>
          <c:order val="2"/>
          <c:tx>
            <c:v>Abs 0,5 - Sta</c:v>
          </c:tx>
          <c:spPr>
            <a:ln w="6350">
              <a:solidFill>
                <a:srgbClr val="00B050"/>
              </a:solidFill>
            </a:ln>
          </c:spPr>
          <c:marker>
            <c:symbol val="triangle"/>
            <c:size val="3"/>
            <c:spPr>
              <a:solidFill>
                <a:srgbClr val="00B050"/>
              </a:solidFill>
              <a:ln w="9525">
                <a:solidFill>
                  <a:srgbClr val="00B050"/>
                </a:solidFill>
              </a:ln>
            </c:spPr>
          </c:marker>
          <c:xVal>
            <c:numRef>
              <c:f>'Cadastro - Padrões Absorbância'!$G$6:$K$6</c:f>
              <c:numCache>
                <c:formatCode>General</c:formatCode>
                <c:ptCount val="5"/>
                <c:pt idx="0">
                  <c:v>440</c:v>
                </c:pt>
                <c:pt idx="1">
                  <c:v>465</c:v>
                </c:pt>
                <c:pt idx="2">
                  <c:v>546.1</c:v>
                </c:pt>
                <c:pt idx="3">
                  <c:v>590</c:v>
                </c:pt>
                <c:pt idx="4">
                  <c:v>635</c:v>
                </c:pt>
              </c:numCache>
            </c:numRef>
          </c:xVal>
          <c:yVal>
            <c:numRef>
              <c:f>'Cadastro - Padrões Absorbância'!$G$26:$K$26</c:f>
              <c:numCache>
                <c:formatCode>0.0000</c:formatCode>
                <c:ptCount val="5"/>
                <c:pt idx="0">
                  <c:v>0.55610000000000004</c:v>
                </c:pt>
                <c:pt idx="1">
                  <c:v>0.51700000000000002</c:v>
                </c:pt>
                <c:pt idx="2">
                  <c:v>0.51380000000000003</c:v>
                </c:pt>
                <c:pt idx="3">
                  <c:v>0.54669999999999996</c:v>
                </c:pt>
                <c:pt idx="4">
                  <c:v>0.55379999999999996</c:v>
                </c:pt>
              </c:numCache>
            </c:numRef>
          </c:yVal>
          <c:smooth val="1"/>
          <c:extLst>
            <c:ext xmlns:c16="http://schemas.microsoft.com/office/drawing/2014/chart" uri="{C3380CC4-5D6E-409C-BE32-E72D297353CC}">
              <c16:uniqueId val="{00000002-B53F-4A35-BE0E-4A8F3C801101}"/>
            </c:ext>
          </c:extLst>
        </c:ser>
        <c:dLbls>
          <c:showLegendKey val="0"/>
          <c:showVal val="0"/>
          <c:showCatName val="0"/>
          <c:showSerName val="0"/>
          <c:showPercent val="0"/>
          <c:showBubbleSize val="0"/>
        </c:dLbls>
        <c:axId val="83161088"/>
        <c:axId val="83163008"/>
      </c:scatterChart>
      <c:valAx>
        <c:axId val="83161088"/>
        <c:scaling>
          <c:orientation val="minMax"/>
          <c:max val="700"/>
          <c:min val="4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pt-BR" sz="1100" b="1">
                    <a:solidFill>
                      <a:sysClr val="windowText" lastClr="000000"/>
                    </a:solidFill>
                  </a:rPr>
                  <a:t>Comprimento</a:t>
                </a:r>
                <a:r>
                  <a:rPr lang="pt-BR" sz="1100" b="1" baseline="0">
                    <a:solidFill>
                      <a:sysClr val="windowText" lastClr="000000"/>
                    </a:solidFill>
                  </a:rPr>
                  <a:t> de Onda [nm]</a:t>
                </a:r>
                <a:endParaRPr lang="pt-BR" sz="1100" b="1">
                  <a:solidFill>
                    <a:sysClr val="windowText" lastClr="000000"/>
                  </a:solidFill>
                </a:endParaRPr>
              </a:p>
            </c:rich>
          </c:tx>
          <c:overlay val="0"/>
          <c:spPr>
            <a:noFill/>
            <a:ln w="25400">
              <a:noFill/>
            </a:ln>
          </c:spPr>
        </c:title>
        <c:numFmt formatCode="General" sourceLinked="1"/>
        <c:majorTickMark val="out"/>
        <c:minorTickMark val="none"/>
        <c:tickLblPos val="nextTo"/>
        <c:spPr>
          <a:noFill/>
          <a:ln w="9525" cap="flat" cmpd="sng" algn="ctr">
            <a:solidFill>
              <a:schemeClr val="tx1"/>
            </a:solidFill>
            <a:round/>
          </a:ln>
          <a:effectLst/>
        </c:spPr>
        <c:txPr>
          <a:bodyPr rot="0" vert="horz"/>
          <a:lstStyle/>
          <a:p>
            <a:pPr>
              <a:defRPr sz="900" b="1" i="0" u="none" strike="noStrike" baseline="0">
                <a:solidFill>
                  <a:srgbClr val="333333"/>
                </a:solidFill>
                <a:latin typeface="Calibri"/>
                <a:ea typeface="Calibri"/>
                <a:cs typeface="Calibri"/>
              </a:defRPr>
            </a:pPr>
            <a:endParaRPr lang="pt-BR"/>
          </a:p>
        </c:txPr>
        <c:crossAx val="83163008"/>
        <c:crosses val="autoZero"/>
        <c:crossBetween val="midCat"/>
        <c:majorUnit val="20"/>
        <c:minorUnit val="10"/>
      </c:valAx>
      <c:valAx>
        <c:axId val="83163008"/>
        <c:scaling>
          <c:orientation val="minMax"/>
          <c:max val="0.56000000000000005"/>
          <c:min val="0.5"/>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pt-BR" sz="1100" b="1">
                    <a:solidFill>
                      <a:sysClr val="windowText" lastClr="000000"/>
                    </a:solidFill>
                  </a:rPr>
                  <a:t>Absorbância</a:t>
                </a:r>
              </a:p>
            </c:rich>
          </c:tx>
          <c:overlay val="0"/>
          <c:spPr>
            <a:noFill/>
            <a:ln w="25400">
              <a:noFill/>
            </a:ln>
          </c:spPr>
        </c:title>
        <c:numFmt formatCode="0.000" sourceLinked="0"/>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pt-BR"/>
          </a:p>
        </c:txPr>
        <c:crossAx val="83161088"/>
        <c:crossesAt val="1"/>
        <c:crossBetween val="midCat"/>
        <c:majorUnit val="5.0000000000000027E-3"/>
        <c:minorUnit val="1.0000000000000007E-3"/>
      </c:valAx>
      <c:spPr>
        <a:noFill/>
        <a:ln>
          <a:solidFill>
            <a:schemeClr val="tx1"/>
          </a:solidFill>
        </a:ln>
        <a:effectLst/>
      </c:spPr>
    </c:plotArea>
    <c:legend>
      <c:legendPos val="r"/>
      <c:layout>
        <c:manualLayout>
          <c:xMode val="edge"/>
          <c:yMode val="edge"/>
          <c:x val="0.83232968711281052"/>
          <c:y val="0.70906093114199653"/>
          <c:w val="0.10303966339467685"/>
          <c:h val="0.12128785076362106"/>
        </c:manualLayout>
      </c:layout>
      <c:overlay val="0"/>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14" footer="0.31496062000000014"/>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b="1">
                <a:solidFill>
                  <a:sysClr val="windowText" lastClr="000000"/>
                </a:solidFill>
              </a:rPr>
              <a:t>Padrões</a:t>
            </a:r>
            <a:r>
              <a:rPr lang="pt-BR" b="1" baseline="0">
                <a:solidFill>
                  <a:sysClr val="windowText" lastClr="000000"/>
                </a:solidFill>
              </a:rPr>
              <a:t> de Densidade Neutra - Deriva para Absorbância Nominal 0,25A</a:t>
            </a:r>
            <a:endParaRPr lang="pt-BR" b="1">
              <a:solidFill>
                <a:sysClr val="windowText" lastClr="000000"/>
              </a:solidFill>
            </a:endParaRPr>
          </a:p>
        </c:rich>
      </c:tx>
      <c:layout>
        <c:manualLayout>
          <c:xMode val="edge"/>
          <c:yMode val="edge"/>
          <c:x val="0.29732293578909602"/>
          <c:y val="0"/>
        </c:manualLayout>
      </c:layout>
      <c:overlay val="0"/>
      <c:spPr>
        <a:noFill/>
        <a:ln w="25400">
          <a:noFill/>
        </a:ln>
      </c:spPr>
    </c:title>
    <c:autoTitleDeleted val="0"/>
    <c:plotArea>
      <c:layout>
        <c:manualLayout>
          <c:layoutTarget val="inner"/>
          <c:xMode val="edge"/>
          <c:yMode val="edge"/>
          <c:x val="8.7750188055314288E-2"/>
          <c:y val="8.4928599284021092E-2"/>
          <c:w val="0.8776962551662536"/>
          <c:h val="0.8157319090939994"/>
        </c:manualLayout>
      </c:layout>
      <c:scatterChart>
        <c:scatterStyle val="smoothMarker"/>
        <c:varyColors val="0"/>
        <c:ser>
          <c:idx val="0"/>
          <c:order val="0"/>
          <c:tx>
            <c:v>Abs 0,25 - Vis</c:v>
          </c:tx>
          <c:spPr>
            <a:ln w="6350" cap="rnd">
              <a:solidFill>
                <a:sysClr val="windowText" lastClr="000000"/>
              </a:solidFill>
              <a:round/>
            </a:ln>
            <a:effectLst/>
          </c:spPr>
          <c:marker>
            <c:symbol val="circle"/>
            <c:size val="4"/>
            <c:spPr>
              <a:solidFill>
                <a:schemeClr val="tx1"/>
              </a:solidFill>
              <a:ln w="9525">
                <a:solidFill>
                  <a:sysClr val="windowText" lastClr="000000"/>
                </a:solidFill>
              </a:ln>
              <a:effectLst/>
            </c:spPr>
          </c:marker>
          <c:xVal>
            <c:numRef>
              <c:f>'Cadastro - Padrões Absorbância'!$G$6:$K$6</c:f>
              <c:numCache>
                <c:formatCode>General</c:formatCode>
                <c:ptCount val="5"/>
                <c:pt idx="0">
                  <c:v>440</c:v>
                </c:pt>
                <c:pt idx="1">
                  <c:v>465</c:v>
                </c:pt>
                <c:pt idx="2">
                  <c:v>546.1</c:v>
                </c:pt>
                <c:pt idx="3">
                  <c:v>590</c:v>
                </c:pt>
                <c:pt idx="4">
                  <c:v>635</c:v>
                </c:pt>
              </c:numCache>
            </c:numRef>
          </c:xVal>
          <c:yVal>
            <c:numRef>
              <c:f>'Cadastro - Padrões Absorbância'!$G$16:$K$16</c:f>
              <c:numCache>
                <c:formatCode>0.0000</c:formatCode>
                <c:ptCount val="5"/>
                <c:pt idx="0">
                  <c:v>0.2661</c:v>
                </c:pt>
                <c:pt idx="1">
                  <c:v>0.2412</c:v>
                </c:pt>
                <c:pt idx="2">
                  <c:v>0.2505</c:v>
                </c:pt>
                <c:pt idx="3">
                  <c:v>0.29399999999999998</c:v>
                </c:pt>
                <c:pt idx="4">
                  <c:v>0.30199999999999999</c:v>
                </c:pt>
              </c:numCache>
            </c:numRef>
          </c:yVal>
          <c:smooth val="1"/>
          <c:extLst>
            <c:ext xmlns:c16="http://schemas.microsoft.com/office/drawing/2014/chart" uri="{C3380CC4-5D6E-409C-BE32-E72D297353CC}">
              <c16:uniqueId val="{00000000-6482-4C99-9960-56674678A771}"/>
            </c:ext>
          </c:extLst>
        </c:ser>
        <c:ser>
          <c:idx val="1"/>
          <c:order val="1"/>
          <c:tx>
            <c:v>Abs 0,25 - IPT</c:v>
          </c:tx>
          <c:spPr>
            <a:ln w="3175"/>
          </c:spPr>
          <c:xVal>
            <c:numRef>
              <c:f>'Cadastro - Padrões Absorbância'!$G$6:$K$6</c:f>
              <c:numCache>
                <c:formatCode>General</c:formatCode>
                <c:ptCount val="5"/>
                <c:pt idx="0">
                  <c:v>440</c:v>
                </c:pt>
                <c:pt idx="1">
                  <c:v>465</c:v>
                </c:pt>
                <c:pt idx="2">
                  <c:v>546.1</c:v>
                </c:pt>
                <c:pt idx="3">
                  <c:v>590</c:v>
                </c:pt>
                <c:pt idx="4">
                  <c:v>635</c:v>
                </c:pt>
              </c:numCache>
            </c:numRef>
          </c:xVal>
          <c:yVal>
            <c:numRef>
              <c:f>'Cadastro - Padrões Absorbância'!$G$23:$K$23</c:f>
              <c:numCache>
                <c:formatCode>0.000</c:formatCode>
                <c:ptCount val="5"/>
                <c:pt idx="0">
                  <c:v>0.26900000000000002</c:v>
                </c:pt>
                <c:pt idx="1">
                  <c:v>0.24299999999999999</c:v>
                </c:pt>
                <c:pt idx="2">
                  <c:v>0.252</c:v>
                </c:pt>
                <c:pt idx="3">
                  <c:v>0.29499999999999998</c:v>
                </c:pt>
                <c:pt idx="4">
                  <c:v>0.30299999999999999</c:v>
                </c:pt>
              </c:numCache>
            </c:numRef>
          </c:yVal>
          <c:smooth val="1"/>
          <c:extLst>
            <c:ext xmlns:c16="http://schemas.microsoft.com/office/drawing/2014/chart" uri="{C3380CC4-5D6E-409C-BE32-E72D297353CC}">
              <c16:uniqueId val="{00000001-6482-4C99-9960-56674678A771}"/>
            </c:ext>
          </c:extLst>
        </c:ser>
        <c:ser>
          <c:idx val="2"/>
          <c:order val="2"/>
          <c:tx>
            <c:v>Abs 0,25 - Sta</c:v>
          </c:tx>
          <c:spPr>
            <a:ln w="6350">
              <a:solidFill>
                <a:srgbClr val="00B050"/>
              </a:solidFill>
            </a:ln>
          </c:spPr>
          <c:marker>
            <c:symbol val="triangle"/>
            <c:size val="3"/>
            <c:spPr>
              <a:solidFill>
                <a:srgbClr val="00B050"/>
              </a:solidFill>
              <a:ln>
                <a:solidFill>
                  <a:srgbClr val="00B050"/>
                </a:solidFill>
              </a:ln>
            </c:spPr>
          </c:marker>
          <c:xVal>
            <c:numRef>
              <c:f>'Cadastro - Padrões Absorbância'!$G$6:$K$6</c:f>
              <c:numCache>
                <c:formatCode>General</c:formatCode>
                <c:ptCount val="5"/>
                <c:pt idx="0">
                  <c:v>440</c:v>
                </c:pt>
                <c:pt idx="1">
                  <c:v>465</c:v>
                </c:pt>
                <c:pt idx="2">
                  <c:v>546.1</c:v>
                </c:pt>
                <c:pt idx="3">
                  <c:v>590</c:v>
                </c:pt>
                <c:pt idx="4">
                  <c:v>635</c:v>
                </c:pt>
              </c:numCache>
            </c:numRef>
          </c:xVal>
          <c:yVal>
            <c:numRef>
              <c:f>'Cadastro - Padrões Absorbância'!$G$27:$K$27</c:f>
              <c:numCache>
                <c:formatCode>0.0000</c:formatCode>
                <c:ptCount val="5"/>
                <c:pt idx="0">
                  <c:v>0.26889999999999997</c:v>
                </c:pt>
                <c:pt idx="1">
                  <c:v>0.24279999999999999</c:v>
                </c:pt>
                <c:pt idx="2">
                  <c:v>0.25159999999999999</c:v>
                </c:pt>
                <c:pt idx="3">
                  <c:v>0.29509999999999997</c:v>
                </c:pt>
                <c:pt idx="4">
                  <c:v>0.30299999999999999</c:v>
                </c:pt>
              </c:numCache>
            </c:numRef>
          </c:yVal>
          <c:smooth val="1"/>
          <c:extLst>
            <c:ext xmlns:c16="http://schemas.microsoft.com/office/drawing/2014/chart" uri="{C3380CC4-5D6E-409C-BE32-E72D297353CC}">
              <c16:uniqueId val="{00000002-6482-4C99-9960-56674678A771}"/>
            </c:ext>
          </c:extLst>
        </c:ser>
        <c:dLbls>
          <c:showLegendKey val="0"/>
          <c:showVal val="0"/>
          <c:showCatName val="0"/>
          <c:showSerName val="0"/>
          <c:showPercent val="0"/>
          <c:showBubbleSize val="0"/>
        </c:dLbls>
        <c:axId val="83220352"/>
        <c:axId val="84291584"/>
      </c:scatterChart>
      <c:valAx>
        <c:axId val="83220352"/>
        <c:scaling>
          <c:orientation val="minMax"/>
          <c:max val="700"/>
          <c:min val="4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pt-BR" sz="1100" b="1">
                    <a:solidFill>
                      <a:sysClr val="windowText" lastClr="000000"/>
                    </a:solidFill>
                  </a:rPr>
                  <a:t>Comprimento</a:t>
                </a:r>
                <a:r>
                  <a:rPr lang="pt-BR" sz="1100" b="1" baseline="0">
                    <a:solidFill>
                      <a:sysClr val="windowText" lastClr="000000"/>
                    </a:solidFill>
                  </a:rPr>
                  <a:t> de Onda [nm]</a:t>
                </a:r>
                <a:endParaRPr lang="pt-BR" sz="1100" b="1">
                  <a:solidFill>
                    <a:sysClr val="windowText" lastClr="000000"/>
                  </a:solidFill>
                </a:endParaRPr>
              </a:p>
            </c:rich>
          </c:tx>
          <c:overlay val="0"/>
          <c:spPr>
            <a:noFill/>
            <a:ln w="25400">
              <a:noFill/>
            </a:ln>
          </c:spPr>
        </c:title>
        <c:numFmt formatCode="General" sourceLinked="1"/>
        <c:majorTickMark val="out"/>
        <c:minorTickMark val="none"/>
        <c:tickLblPos val="nextTo"/>
        <c:spPr>
          <a:noFill/>
          <a:ln w="9525" cap="flat" cmpd="sng" algn="ctr">
            <a:solidFill>
              <a:schemeClr val="tx1"/>
            </a:solidFill>
            <a:round/>
          </a:ln>
          <a:effectLst/>
        </c:spPr>
        <c:txPr>
          <a:bodyPr rot="0" vert="horz"/>
          <a:lstStyle/>
          <a:p>
            <a:pPr>
              <a:defRPr sz="900" b="1" i="0" u="none" strike="noStrike" baseline="0">
                <a:solidFill>
                  <a:srgbClr val="333333"/>
                </a:solidFill>
                <a:latin typeface="Calibri"/>
                <a:ea typeface="Calibri"/>
                <a:cs typeface="Calibri"/>
              </a:defRPr>
            </a:pPr>
            <a:endParaRPr lang="pt-BR"/>
          </a:p>
        </c:txPr>
        <c:crossAx val="84291584"/>
        <c:crosses val="autoZero"/>
        <c:crossBetween val="midCat"/>
        <c:majorUnit val="20"/>
        <c:minorUnit val="10"/>
      </c:valAx>
      <c:valAx>
        <c:axId val="84291584"/>
        <c:scaling>
          <c:orientation val="minMax"/>
          <c:max val="0.31000000000000016"/>
          <c:min val="0.24000000000000007"/>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pt-BR" sz="1100" b="1">
                    <a:solidFill>
                      <a:sysClr val="windowText" lastClr="000000"/>
                    </a:solidFill>
                  </a:rPr>
                  <a:t>Absorbância</a:t>
                </a:r>
              </a:p>
            </c:rich>
          </c:tx>
          <c:overlay val="0"/>
          <c:spPr>
            <a:noFill/>
            <a:ln w="25400">
              <a:noFill/>
            </a:ln>
          </c:spPr>
        </c:title>
        <c:numFmt formatCode="0.000" sourceLinked="0"/>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pt-BR"/>
          </a:p>
        </c:txPr>
        <c:crossAx val="83220352"/>
        <c:crossesAt val="1"/>
        <c:crossBetween val="midCat"/>
        <c:majorUnit val="5.0000000000000027E-3"/>
        <c:minorUnit val="1.0000000000000007E-3"/>
      </c:valAx>
      <c:spPr>
        <a:noFill/>
        <a:ln>
          <a:solidFill>
            <a:schemeClr val="tx1"/>
          </a:solidFill>
        </a:ln>
        <a:effectLst/>
      </c:spPr>
    </c:plotArea>
    <c:legend>
      <c:legendPos val="r"/>
      <c:layout>
        <c:manualLayout>
          <c:xMode val="edge"/>
          <c:yMode val="edge"/>
          <c:x val="0.83607523048058363"/>
          <c:y val="0.7090608582107536"/>
          <c:w val="0.10947997107298005"/>
          <c:h val="0.12075401259316708"/>
        </c:manualLayout>
      </c:layout>
      <c:overlay val="0"/>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14" footer="0.31496062000000014"/>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b="1">
                <a:solidFill>
                  <a:sysClr val="windowText" lastClr="000000"/>
                </a:solidFill>
              </a:rPr>
              <a:t>Padrões</a:t>
            </a:r>
            <a:r>
              <a:rPr lang="pt-BR" b="1" baseline="0">
                <a:solidFill>
                  <a:sysClr val="windowText" lastClr="000000"/>
                </a:solidFill>
              </a:rPr>
              <a:t> de Densidade Neutra - Deriva Temporal para Absorbância 1 A</a:t>
            </a:r>
            <a:endParaRPr lang="pt-BR" b="1">
              <a:solidFill>
                <a:sysClr val="windowText" lastClr="000000"/>
              </a:solidFill>
            </a:endParaRPr>
          </a:p>
        </c:rich>
      </c:tx>
      <c:layout>
        <c:manualLayout>
          <c:xMode val="edge"/>
          <c:yMode val="edge"/>
          <c:x val="0.29732293578909602"/>
          <c:y val="0"/>
        </c:manualLayout>
      </c:layout>
      <c:overlay val="0"/>
      <c:spPr>
        <a:noFill/>
        <a:ln w="25400">
          <a:noFill/>
        </a:ln>
      </c:spPr>
    </c:title>
    <c:autoTitleDeleted val="0"/>
    <c:plotArea>
      <c:layout>
        <c:manualLayout>
          <c:layoutTarget val="inner"/>
          <c:xMode val="edge"/>
          <c:yMode val="edge"/>
          <c:x val="8.7750182818363318E-2"/>
          <c:y val="8.9380463502162458E-2"/>
          <c:w val="0.8776962551662536"/>
          <c:h val="0.8157319090939994"/>
        </c:manualLayout>
      </c:layout>
      <c:scatterChart>
        <c:scatterStyle val="smoothMarker"/>
        <c:varyColors val="0"/>
        <c:ser>
          <c:idx val="0"/>
          <c:order val="0"/>
          <c:tx>
            <c:v>Abs 1 - Deriva 2014 - 2019</c:v>
          </c:tx>
          <c:spPr>
            <a:ln w="3175">
              <a:solidFill>
                <a:srgbClr val="FF0000"/>
              </a:solidFill>
              <a:prstDash val="solid"/>
            </a:ln>
          </c:spPr>
          <c:marker>
            <c:symbol val="circle"/>
            <c:size val="4"/>
            <c:spPr>
              <a:solidFill>
                <a:schemeClr val="tx1"/>
              </a:solidFill>
              <a:ln w="9525">
                <a:solidFill>
                  <a:sysClr val="windowText" lastClr="000000"/>
                </a:solidFill>
              </a:ln>
              <a:effectLst/>
            </c:spPr>
          </c:marker>
          <c:xVal>
            <c:numRef>
              <c:f>'Cadastro - Padrões Absorbância'!$G$6:$K$6</c:f>
              <c:numCache>
                <c:formatCode>General</c:formatCode>
                <c:ptCount val="5"/>
                <c:pt idx="0">
                  <c:v>440</c:v>
                </c:pt>
                <c:pt idx="1">
                  <c:v>465</c:v>
                </c:pt>
                <c:pt idx="2">
                  <c:v>546.1</c:v>
                </c:pt>
                <c:pt idx="3">
                  <c:v>590</c:v>
                </c:pt>
                <c:pt idx="4">
                  <c:v>635</c:v>
                </c:pt>
              </c:numCache>
            </c:numRef>
          </c:xVal>
          <c:yVal>
            <c:numRef>
              <c:f>'Cadastro - Padrões Absorbância'!$G$35:$K$35</c:f>
              <c:numCache>
                <c:formatCode>0.0000</c:formatCode>
                <c:ptCount val="5"/>
                <c:pt idx="0">
                  <c:v>-3.00000000000189E-4</c:v>
                </c:pt>
                <c:pt idx="1">
                  <c:v>-2.00000000000089E-4</c:v>
                </c:pt>
                <c:pt idx="2">
                  <c:v>-1.1000000000001009E-3</c:v>
                </c:pt>
                <c:pt idx="3">
                  <c:v>-1.0000000000001119E-3</c:v>
                </c:pt>
                <c:pt idx="4">
                  <c:v>-1.0000000000001119E-3</c:v>
                </c:pt>
              </c:numCache>
            </c:numRef>
          </c:yVal>
          <c:smooth val="1"/>
          <c:extLst>
            <c:ext xmlns:c16="http://schemas.microsoft.com/office/drawing/2014/chart" uri="{C3380CC4-5D6E-409C-BE32-E72D297353CC}">
              <c16:uniqueId val="{00000000-748D-4FE2-8918-0CBA9ADF651C}"/>
            </c:ext>
          </c:extLst>
        </c:ser>
        <c:ser>
          <c:idx val="1"/>
          <c:order val="1"/>
          <c:tx>
            <c:v>Abs 1 - Deriva 2019 - 2021</c:v>
          </c:tx>
          <c:spPr>
            <a:ln w="3175">
              <a:solidFill>
                <a:srgbClr val="FFFF00"/>
              </a:solidFill>
            </a:ln>
          </c:spPr>
          <c:marker>
            <c:spPr>
              <a:solidFill>
                <a:schemeClr val="tx1"/>
              </a:solidFill>
            </c:spPr>
          </c:marker>
          <c:xVal>
            <c:numRef>
              <c:f>'Cadastro - Padrões Absorbância'!$G$6:$K$6</c:f>
              <c:numCache>
                <c:formatCode>General</c:formatCode>
                <c:ptCount val="5"/>
                <c:pt idx="0">
                  <c:v>440</c:v>
                </c:pt>
                <c:pt idx="1">
                  <c:v>465</c:v>
                </c:pt>
                <c:pt idx="2">
                  <c:v>546.1</c:v>
                </c:pt>
                <c:pt idx="3">
                  <c:v>590</c:v>
                </c:pt>
                <c:pt idx="4">
                  <c:v>635</c:v>
                </c:pt>
              </c:numCache>
            </c:numRef>
          </c:xVal>
          <c:yVal>
            <c:numRef>
              <c:f>'Cadastro - Padrões Absorbância'!$G$38:$K$38</c:f>
              <c:numCache>
                <c:formatCode>0.0000</c:formatCode>
                <c:ptCount val="5"/>
                <c:pt idx="0">
                  <c:v>-2.8999999999999027E-3</c:v>
                </c:pt>
                <c:pt idx="1">
                  <c:v>-2.2999999999999687E-3</c:v>
                </c:pt>
                <c:pt idx="2">
                  <c:v>4.0000000000017799E-4</c:v>
                </c:pt>
                <c:pt idx="3">
                  <c:v>8.0000000000013394E-4</c:v>
                </c:pt>
                <c:pt idx="4">
                  <c:v>1.0000000000001119E-3</c:v>
                </c:pt>
              </c:numCache>
            </c:numRef>
          </c:yVal>
          <c:smooth val="1"/>
          <c:extLst>
            <c:ext xmlns:c16="http://schemas.microsoft.com/office/drawing/2014/chart" uri="{C3380CC4-5D6E-409C-BE32-E72D297353CC}">
              <c16:uniqueId val="{00000001-748D-4FE2-8918-0CBA9ADF651C}"/>
            </c:ext>
          </c:extLst>
        </c:ser>
        <c:ser>
          <c:idx val="2"/>
          <c:order val="2"/>
          <c:tx>
            <c:v>Abs 1 - Deriva 2014 - 2021</c:v>
          </c:tx>
          <c:spPr>
            <a:ln w="9525" cmpd="sng">
              <a:solidFill>
                <a:srgbClr val="00B050"/>
              </a:solidFill>
              <a:headEnd type="none" w="sm" len="sm"/>
            </a:ln>
          </c:spPr>
          <c:marker>
            <c:symbol val="triangle"/>
            <c:size val="3"/>
            <c:spPr>
              <a:solidFill>
                <a:srgbClr val="00B050"/>
              </a:solidFill>
              <a:ln cmpd="sng">
                <a:solidFill>
                  <a:srgbClr val="00B050"/>
                </a:solidFill>
              </a:ln>
            </c:spPr>
          </c:marker>
          <c:xVal>
            <c:numRef>
              <c:f>'Cadastro - Padrões Absorbância'!$G$6:$K$6</c:f>
              <c:numCache>
                <c:formatCode>General</c:formatCode>
                <c:ptCount val="5"/>
                <c:pt idx="0">
                  <c:v>440</c:v>
                </c:pt>
                <c:pt idx="1">
                  <c:v>465</c:v>
                </c:pt>
                <c:pt idx="2">
                  <c:v>546.1</c:v>
                </c:pt>
                <c:pt idx="3">
                  <c:v>590</c:v>
                </c:pt>
                <c:pt idx="4">
                  <c:v>635</c:v>
                </c:pt>
              </c:numCache>
            </c:numRef>
          </c:xVal>
          <c:yVal>
            <c:numRef>
              <c:f>'Cadastro - Padrões Absorbância'!$G$41:$K$41</c:f>
              <c:numCache>
                <c:formatCode>0.0000</c:formatCode>
                <c:ptCount val="5"/>
                <c:pt idx="0">
                  <c:v>-3.2000000000000917E-3</c:v>
                </c:pt>
                <c:pt idx="1">
                  <c:v>-2.5000000000000577E-3</c:v>
                </c:pt>
                <c:pt idx="2">
                  <c:v>-6.9999999999992291E-4</c:v>
                </c:pt>
                <c:pt idx="3">
                  <c:v>-1.9999999999997797E-4</c:v>
                </c:pt>
                <c:pt idx="4">
                  <c:v>0</c:v>
                </c:pt>
              </c:numCache>
            </c:numRef>
          </c:yVal>
          <c:smooth val="1"/>
          <c:extLst>
            <c:ext xmlns:c16="http://schemas.microsoft.com/office/drawing/2014/chart" uri="{C3380CC4-5D6E-409C-BE32-E72D297353CC}">
              <c16:uniqueId val="{00000002-748D-4FE2-8918-0CBA9ADF651C}"/>
            </c:ext>
          </c:extLst>
        </c:ser>
        <c:dLbls>
          <c:showLegendKey val="0"/>
          <c:showVal val="0"/>
          <c:showCatName val="0"/>
          <c:showSerName val="0"/>
          <c:showPercent val="0"/>
          <c:showBubbleSize val="0"/>
        </c:dLbls>
        <c:axId val="84357120"/>
        <c:axId val="84359040"/>
      </c:scatterChart>
      <c:valAx>
        <c:axId val="84357120"/>
        <c:scaling>
          <c:orientation val="minMax"/>
          <c:max val="700"/>
          <c:min val="4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pt-BR" sz="1100" b="1">
                    <a:solidFill>
                      <a:sysClr val="windowText" lastClr="000000"/>
                    </a:solidFill>
                  </a:rPr>
                  <a:t>Comprimento</a:t>
                </a:r>
                <a:r>
                  <a:rPr lang="pt-BR" sz="1100" b="1" baseline="0">
                    <a:solidFill>
                      <a:sysClr val="windowText" lastClr="000000"/>
                    </a:solidFill>
                  </a:rPr>
                  <a:t> de Onda [nm]</a:t>
                </a:r>
                <a:endParaRPr lang="pt-BR" sz="1100" b="1">
                  <a:solidFill>
                    <a:sysClr val="windowText" lastClr="000000"/>
                  </a:solidFill>
                </a:endParaRPr>
              </a:p>
            </c:rich>
          </c:tx>
          <c:overlay val="0"/>
          <c:spPr>
            <a:noFill/>
            <a:ln w="25400">
              <a:noFill/>
            </a:ln>
          </c:spPr>
        </c:title>
        <c:numFmt formatCode="General" sourceLinked="0"/>
        <c:majorTickMark val="out"/>
        <c:minorTickMark val="none"/>
        <c:tickLblPos val="low"/>
        <c:spPr>
          <a:noFill/>
          <a:ln w="9525" cap="flat" cmpd="sng" algn="ctr">
            <a:solidFill>
              <a:schemeClr val="tx1"/>
            </a:solidFill>
            <a:round/>
          </a:ln>
          <a:effectLst/>
        </c:spPr>
        <c:txPr>
          <a:bodyPr rot="0" vert="horz"/>
          <a:lstStyle/>
          <a:p>
            <a:pPr>
              <a:defRPr sz="900" b="1" i="0" u="none" strike="noStrike" baseline="0">
                <a:solidFill>
                  <a:srgbClr val="333333"/>
                </a:solidFill>
                <a:latin typeface="Calibri"/>
                <a:ea typeface="Calibri"/>
                <a:cs typeface="Calibri"/>
              </a:defRPr>
            </a:pPr>
            <a:endParaRPr lang="pt-BR"/>
          </a:p>
        </c:txPr>
        <c:crossAx val="84359040"/>
        <c:crosses val="autoZero"/>
        <c:crossBetween val="midCat"/>
        <c:majorUnit val="20"/>
        <c:minorUnit val="10"/>
      </c:valAx>
      <c:valAx>
        <c:axId val="84359040"/>
        <c:scaling>
          <c:orientation val="minMax"/>
          <c:max val="1.0000000000000007E-3"/>
          <c:min val="-4.0000000000000027E-3"/>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pt-BR" sz="1100" b="1">
                    <a:solidFill>
                      <a:sysClr val="windowText" lastClr="000000"/>
                    </a:solidFill>
                  </a:rPr>
                  <a:t>Deriva da Absorbância</a:t>
                </a:r>
              </a:p>
            </c:rich>
          </c:tx>
          <c:overlay val="0"/>
          <c:spPr>
            <a:noFill/>
            <a:ln w="25400">
              <a:noFill/>
            </a:ln>
          </c:spPr>
        </c:title>
        <c:numFmt formatCode="0.000" sourceLinked="0"/>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pt-BR"/>
          </a:p>
        </c:txPr>
        <c:crossAx val="84357120"/>
        <c:crossesAt val="400"/>
        <c:crossBetween val="midCat"/>
      </c:valAx>
      <c:spPr>
        <a:noFill/>
        <a:ln>
          <a:solidFill>
            <a:schemeClr val="tx1"/>
          </a:solidFill>
        </a:ln>
        <a:effectLst/>
      </c:spPr>
    </c:plotArea>
    <c:legend>
      <c:legendPos val="r"/>
      <c:layout>
        <c:manualLayout>
          <c:xMode val="edge"/>
          <c:yMode val="edge"/>
          <c:x val="0.77005213943632767"/>
          <c:y val="0.7068348528802324"/>
          <c:w val="0.17943865398328096"/>
          <c:h val="0.16718711147948606"/>
        </c:manualLayout>
      </c:layout>
      <c:overlay val="0"/>
    </c:legend>
    <c:plotVisOnly val="1"/>
    <c:dispBlanksAs val="gap"/>
    <c:showDLblsOverMax val="0"/>
  </c:chart>
  <c:spPr>
    <a:solidFill>
      <a:schemeClr val="bg1"/>
    </a:solidFill>
    <a:ln w="9525" cap="flat" cmpd="sng" algn="ctr">
      <a:solidFill>
        <a:schemeClr val="tx1">
          <a:alpha val="99000"/>
        </a:schemeClr>
      </a:solidFill>
      <a:round/>
    </a:ln>
    <a:effectLst/>
  </c:spPr>
  <c:txPr>
    <a:bodyPr/>
    <a:lstStyle/>
    <a:p>
      <a:pPr>
        <a:defRPr/>
      </a:pPr>
      <a:endParaRPr lang="pt-BR"/>
    </a:p>
  </c:txPr>
  <c:printSettings>
    <c:headerFooter/>
    <c:pageMargins b="0.78740157499999996" l="0.511811024" r="0.511811024" t="0.78740157499999996" header="0.31496062000000014" footer="0.31496062000000014"/>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b="1">
                <a:solidFill>
                  <a:sysClr val="windowText" lastClr="000000"/>
                </a:solidFill>
              </a:rPr>
              <a:t>Padrões</a:t>
            </a:r>
            <a:r>
              <a:rPr lang="pt-BR" b="1" baseline="0">
                <a:solidFill>
                  <a:sysClr val="windowText" lastClr="000000"/>
                </a:solidFill>
              </a:rPr>
              <a:t> de Densidade Neutra - Deriva Temporal para Absorbância 0,5 A</a:t>
            </a:r>
            <a:endParaRPr lang="pt-BR" b="1">
              <a:solidFill>
                <a:sysClr val="windowText" lastClr="000000"/>
              </a:solidFill>
            </a:endParaRPr>
          </a:p>
        </c:rich>
      </c:tx>
      <c:layout>
        <c:manualLayout>
          <c:xMode val="edge"/>
          <c:yMode val="edge"/>
          <c:x val="0.29732293578909602"/>
          <c:y val="0"/>
        </c:manualLayout>
      </c:layout>
      <c:overlay val="0"/>
      <c:spPr>
        <a:noFill/>
        <a:ln w="25400">
          <a:noFill/>
        </a:ln>
      </c:spPr>
    </c:title>
    <c:autoTitleDeleted val="0"/>
    <c:plotArea>
      <c:layout>
        <c:manualLayout>
          <c:layoutTarget val="inner"/>
          <c:xMode val="edge"/>
          <c:yMode val="edge"/>
          <c:x val="8.7750182818363318E-2"/>
          <c:y val="8.9380463502162458E-2"/>
          <c:w val="0.8776962551662536"/>
          <c:h val="0.8157319090939994"/>
        </c:manualLayout>
      </c:layout>
      <c:scatterChart>
        <c:scatterStyle val="smoothMarker"/>
        <c:varyColors val="0"/>
        <c:ser>
          <c:idx val="0"/>
          <c:order val="0"/>
          <c:tx>
            <c:v>Abs 0,5 - Deriva 2014 - 2019</c:v>
          </c:tx>
          <c:spPr>
            <a:ln w="3175">
              <a:solidFill>
                <a:srgbClr val="FF0000"/>
              </a:solidFill>
              <a:prstDash val="solid"/>
            </a:ln>
          </c:spPr>
          <c:marker>
            <c:symbol val="circle"/>
            <c:size val="4"/>
            <c:spPr>
              <a:solidFill>
                <a:schemeClr val="tx1"/>
              </a:solidFill>
              <a:ln w="9525">
                <a:solidFill>
                  <a:sysClr val="windowText" lastClr="000000"/>
                </a:solidFill>
              </a:ln>
              <a:effectLst/>
            </c:spPr>
          </c:marker>
          <c:xVal>
            <c:numRef>
              <c:f>'Cadastro - Padrões Absorbância'!$G$6:$K$6</c:f>
              <c:numCache>
                <c:formatCode>General</c:formatCode>
                <c:ptCount val="5"/>
                <c:pt idx="0">
                  <c:v>440</c:v>
                </c:pt>
                <c:pt idx="1">
                  <c:v>465</c:v>
                </c:pt>
                <c:pt idx="2">
                  <c:v>546.1</c:v>
                </c:pt>
                <c:pt idx="3">
                  <c:v>590</c:v>
                </c:pt>
                <c:pt idx="4">
                  <c:v>635</c:v>
                </c:pt>
              </c:numCache>
            </c:numRef>
          </c:xVal>
          <c:yVal>
            <c:numRef>
              <c:f>'Cadastro - Padrões Absorbância'!$G$36:$K$36</c:f>
              <c:numCache>
                <c:formatCode>0.0000</c:formatCode>
                <c:ptCount val="5"/>
                <c:pt idx="0">
                  <c:v>-1.0999999999999899E-3</c:v>
                </c:pt>
                <c:pt idx="1">
                  <c:v>-1.0000000000000009E-3</c:v>
                </c:pt>
                <c:pt idx="2">
                  <c:v>-1.8000000000000238E-3</c:v>
                </c:pt>
                <c:pt idx="3">
                  <c:v>-1.6999999999999238E-3</c:v>
                </c:pt>
                <c:pt idx="4">
                  <c:v>-1.7999999999999128E-3</c:v>
                </c:pt>
              </c:numCache>
            </c:numRef>
          </c:yVal>
          <c:smooth val="1"/>
          <c:extLst>
            <c:ext xmlns:c16="http://schemas.microsoft.com/office/drawing/2014/chart" uri="{C3380CC4-5D6E-409C-BE32-E72D297353CC}">
              <c16:uniqueId val="{00000000-2CC4-44FF-9C66-4A97A7F46F50}"/>
            </c:ext>
          </c:extLst>
        </c:ser>
        <c:ser>
          <c:idx val="1"/>
          <c:order val="1"/>
          <c:tx>
            <c:v>Abs 0,5 - Deriva 2019 - 2021</c:v>
          </c:tx>
          <c:spPr>
            <a:ln w="3175">
              <a:solidFill>
                <a:srgbClr val="FFFF00"/>
              </a:solidFill>
            </a:ln>
          </c:spPr>
          <c:marker>
            <c:spPr>
              <a:solidFill>
                <a:schemeClr val="tx1"/>
              </a:solidFill>
            </c:spPr>
          </c:marker>
          <c:xVal>
            <c:numRef>
              <c:f>'Cadastro - Padrões Absorbância'!$G$6:$K$6</c:f>
              <c:numCache>
                <c:formatCode>General</c:formatCode>
                <c:ptCount val="5"/>
                <c:pt idx="0">
                  <c:v>440</c:v>
                </c:pt>
                <c:pt idx="1">
                  <c:v>465</c:v>
                </c:pt>
                <c:pt idx="2">
                  <c:v>546.1</c:v>
                </c:pt>
                <c:pt idx="3">
                  <c:v>590</c:v>
                </c:pt>
                <c:pt idx="4">
                  <c:v>635</c:v>
                </c:pt>
              </c:numCache>
            </c:numRef>
          </c:xVal>
          <c:yVal>
            <c:numRef>
              <c:f>'Cadastro - Padrões Absorbância'!$G$39:$K$39</c:f>
              <c:numCache>
                <c:formatCode>0.0000</c:formatCode>
                <c:ptCount val="5"/>
                <c:pt idx="0">
                  <c:v>-3.0000000000000027E-3</c:v>
                </c:pt>
                <c:pt idx="1">
                  <c:v>-2.6000000000000467E-3</c:v>
                </c:pt>
                <c:pt idx="2">
                  <c:v>-2.9999999999996696E-4</c:v>
                </c:pt>
                <c:pt idx="3">
                  <c:v>0</c:v>
                </c:pt>
                <c:pt idx="4">
                  <c:v>2.9999999999996696E-4</c:v>
                </c:pt>
              </c:numCache>
            </c:numRef>
          </c:yVal>
          <c:smooth val="1"/>
          <c:extLst>
            <c:ext xmlns:c16="http://schemas.microsoft.com/office/drawing/2014/chart" uri="{C3380CC4-5D6E-409C-BE32-E72D297353CC}">
              <c16:uniqueId val="{00000001-2CC4-44FF-9C66-4A97A7F46F50}"/>
            </c:ext>
          </c:extLst>
        </c:ser>
        <c:ser>
          <c:idx val="2"/>
          <c:order val="2"/>
          <c:tx>
            <c:v>Abs 0,5 - Deriva 2014 - 2021</c:v>
          </c:tx>
          <c:spPr>
            <a:ln w="9525" cmpd="sng">
              <a:solidFill>
                <a:srgbClr val="00B050"/>
              </a:solidFill>
              <a:headEnd type="none" w="sm" len="sm"/>
            </a:ln>
          </c:spPr>
          <c:marker>
            <c:symbol val="triangle"/>
            <c:size val="3"/>
            <c:spPr>
              <a:solidFill>
                <a:srgbClr val="00B050"/>
              </a:solidFill>
              <a:ln cmpd="sng">
                <a:solidFill>
                  <a:srgbClr val="00B050"/>
                </a:solidFill>
              </a:ln>
            </c:spPr>
          </c:marker>
          <c:xVal>
            <c:numRef>
              <c:f>'Cadastro - Padrões Absorbância'!$G$6:$K$6</c:f>
              <c:numCache>
                <c:formatCode>General</c:formatCode>
                <c:ptCount val="5"/>
                <c:pt idx="0">
                  <c:v>440</c:v>
                </c:pt>
                <c:pt idx="1">
                  <c:v>465</c:v>
                </c:pt>
                <c:pt idx="2">
                  <c:v>546.1</c:v>
                </c:pt>
                <c:pt idx="3">
                  <c:v>590</c:v>
                </c:pt>
                <c:pt idx="4">
                  <c:v>635</c:v>
                </c:pt>
              </c:numCache>
            </c:numRef>
          </c:xVal>
          <c:yVal>
            <c:numRef>
              <c:f>'Cadastro - Padrões Absorbância'!$G$42:$K$42</c:f>
              <c:numCache>
                <c:formatCode>0.0000</c:formatCode>
                <c:ptCount val="5"/>
                <c:pt idx="0">
                  <c:v>-4.0999999999999925E-3</c:v>
                </c:pt>
                <c:pt idx="1">
                  <c:v>-3.6000000000000476E-3</c:v>
                </c:pt>
                <c:pt idx="2">
                  <c:v>-2.0999999999999908E-3</c:v>
                </c:pt>
                <c:pt idx="3">
                  <c:v>-1.6999999999999238E-3</c:v>
                </c:pt>
                <c:pt idx="4">
                  <c:v>-1.4999999999999458E-3</c:v>
                </c:pt>
              </c:numCache>
            </c:numRef>
          </c:yVal>
          <c:smooth val="1"/>
          <c:extLst>
            <c:ext xmlns:c16="http://schemas.microsoft.com/office/drawing/2014/chart" uri="{C3380CC4-5D6E-409C-BE32-E72D297353CC}">
              <c16:uniqueId val="{00000002-2CC4-44FF-9C66-4A97A7F46F50}"/>
            </c:ext>
          </c:extLst>
        </c:ser>
        <c:dLbls>
          <c:showLegendKey val="0"/>
          <c:showVal val="0"/>
          <c:showCatName val="0"/>
          <c:showSerName val="0"/>
          <c:showPercent val="0"/>
          <c:showBubbleSize val="0"/>
        </c:dLbls>
        <c:axId val="84740352"/>
        <c:axId val="84750720"/>
      </c:scatterChart>
      <c:valAx>
        <c:axId val="84740352"/>
        <c:scaling>
          <c:orientation val="minMax"/>
          <c:max val="700"/>
          <c:min val="4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pt-BR" sz="1100" b="1">
                    <a:solidFill>
                      <a:sysClr val="windowText" lastClr="000000"/>
                    </a:solidFill>
                  </a:rPr>
                  <a:t>Comprimento</a:t>
                </a:r>
                <a:r>
                  <a:rPr lang="pt-BR" sz="1100" b="1" baseline="0">
                    <a:solidFill>
                      <a:sysClr val="windowText" lastClr="000000"/>
                    </a:solidFill>
                  </a:rPr>
                  <a:t> de Onda [nm]</a:t>
                </a:r>
                <a:endParaRPr lang="pt-BR" sz="1100" b="1">
                  <a:solidFill>
                    <a:sysClr val="windowText" lastClr="000000"/>
                  </a:solidFill>
                </a:endParaRPr>
              </a:p>
            </c:rich>
          </c:tx>
          <c:overlay val="0"/>
          <c:spPr>
            <a:noFill/>
            <a:ln w="25400">
              <a:noFill/>
            </a:ln>
          </c:spPr>
        </c:title>
        <c:numFmt formatCode="General" sourceLinked="0"/>
        <c:majorTickMark val="out"/>
        <c:minorTickMark val="none"/>
        <c:tickLblPos val="low"/>
        <c:spPr>
          <a:noFill/>
          <a:ln w="9525" cap="flat" cmpd="sng" algn="ctr">
            <a:solidFill>
              <a:schemeClr val="tx1"/>
            </a:solidFill>
            <a:round/>
          </a:ln>
          <a:effectLst/>
        </c:spPr>
        <c:txPr>
          <a:bodyPr rot="0" vert="horz"/>
          <a:lstStyle/>
          <a:p>
            <a:pPr>
              <a:defRPr sz="900" b="1" i="0" u="none" strike="noStrike" baseline="0">
                <a:solidFill>
                  <a:srgbClr val="333333"/>
                </a:solidFill>
                <a:latin typeface="Calibri"/>
                <a:ea typeface="Calibri"/>
                <a:cs typeface="Calibri"/>
              </a:defRPr>
            </a:pPr>
            <a:endParaRPr lang="pt-BR"/>
          </a:p>
        </c:txPr>
        <c:crossAx val="84750720"/>
        <c:crosses val="autoZero"/>
        <c:crossBetween val="midCat"/>
        <c:majorUnit val="20"/>
        <c:minorUnit val="10"/>
      </c:valAx>
      <c:valAx>
        <c:axId val="84750720"/>
        <c:scaling>
          <c:orientation val="minMax"/>
          <c:max val="1.0000000000000007E-3"/>
          <c:min val="-5.0000000000000027E-3"/>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pt-BR" sz="1100" b="1">
                    <a:solidFill>
                      <a:sysClr val="windowText" lastClr="000000"/>
                    </a:solidFill>
                  </a:rPr>
                  <a:t>Deriva da Absorbância</a:t>
                </a:r>
              </a:p>
            </c:rich>
          </c:tx>
          <c:overlay val="0"/>
          <c:spPr>
            <a:noFill/>
            <a:ln w="25400">
              <a:noFill/>
            </a:ln>
          </c:spPr>
        </c:title>
        <c:numFmt formatCode="0.000" sourceLinked="0"/>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pt-BR"/>
          </a:p>
        </c:txPr>
        <c:crossAx val="84740352"/>
        <c:crossesAt val="400"/>
        <c:crossBetween val="midCat"/>
      </c:valAx>
      <c:spPr>
        <a:noFill/>
        <a:ln>
          <a:solidFill>
            <a:schemeClr val="tx1"/>
          </a:solidFill>
        </a:ln>
        <a:effectLst/>
      </c:spPr>
    </c:plotArea>
    <c:legend>
      <c:legendPos val="r"/>
      <c:layout>
        <c:manualLayout>
          <c:xMode val="edge"/>
          <c:yMode val="edge"/>
          <c:x val="0.77005213943632767"/>
          <c:y val="0.7068348528802324"/>
          <c:w val="0.17943865398328096"/>
          <c:h val="0.16718711147948606"/>
        </c:manualLayout>
      </c:layout>
      <c:overlay val="0"/>
    </c:legend>
    <c:plotVisOnly val="1"/>
    <c:dispBlanksAs val="gap"/>
    <c:showDLblsOverMax val="0"/>
  </c:chart>
  <c:spPr>
    <a:solidFill>
      <a:schemeClr val="bg1"/>
    </a:solidFill>
    <a:ln w="9525" cap="flat" cmpd="sng" algn="ctr">
      <a:solidFill>
        <a:schemeClr val="tx1">
          <a:alpha val="99000"/>
        </a:schemeClr>
      </a:solidFill>
      <a:round/>
    </a:ln>
    <a:effectLst/>
  </c:spPr>
  <c:txPr>
    <a:bodyPr/>
    <a:lstStyle/>
    <a:p>
      <a:pPr>
        <a:defRPr/>
      </a:pPr>
      <a:endParaRPr lang="pt-BR"/>
    </a:p>
  </c:txPr>
  <c:printSettings>
    <c:headerFooter/>
    <c:pageMargins b="0.78740157499999996" l="0.511811024" r="0.511811024" t="0.78740157499999996" header="0.31496062000000014" footer="0.31496062000000014"/>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b="1">
                <a:solidFill>
                  <a:sysClr val="windowText" lastClr="000000"/>
                </a:solidFill>
              </a:rPr>
              <a:t>Padrões</a:t>
            </a:r>
            <a:r>
              <a:rPr lang="pt-BR" b="1" baseline="0">
                <a:solidFill>
                  <a:sysClr val="windowText" lastClr="000000"/>
                </a:solidFill>
              </a:rPr>
              <a:t> de Densidade Neutra - Deriva Temporal para Absorbância 0,25 A</a:t>
            </a:r>
            <a:endParaRPr lang="pt-BR" b="1">
              <a:solidFill>
                <a:sysClr val="windowText" lastClr="000000"/>
              </a:solidFill>
            </a:endParaRPr>
          </a:p>
        </c:rich>
      </c:tx>
      <c:layout>
        <c:manualLayout>
          <c:xMode val="edge"/>
          <c:yMode val="edge"/>
          <c:x val="0.29732293578909602"/>
          <c:y val="0"/>
        </c:manualLayout>
      </c:layout>
      <c:overlay val="0"/>
      <c:spPr>
        <a:noFill/>
        <a:ln w="25400">
          <a:noFill/>
        </a:ln>
      </c:spPr>
    </c:title>
    <c:autoTitleDeleted val="0"/>
    <c:plotArea>
      <c:layout>
        <c:manualLayout>
          <c:layoutTarget val="inner"/>
          <c:xMode val="edge"/>
          <c:yMode val="edge"/>
          <c:x val="8.7750182818363318E-2"/>
          <c:y val="8.9380463502162458E-2"/>
          <c:w val="0.8776962551662536"/>
          <c:h val="0.8157319090939994"/>
        </c:manualLayout>
      </c:layout>
      <c:scatterChart>
        <c:scatterStyle val="smoothMarker"/>
        <c:varyColors val="0"/>
        <c:ser>
          <c:idx val="0"/>
          <c:order val="0"/>
          <c:tx>
            <c:v>Abs 0,25 - Deriva 2014 - 2019</c:v>
          </c:tx>
          <c:spPr>
            <a:ln w="3175">
              <a:solidFill>
                <a:srgbClr val="FF0000"/>
              </a:solidFill>
              <a:prstDash val="solid"/>
            </a:ln>
          </c:spPr>
          <c:marker>
            <c:symbol val="circle"/>
            <c:size val="4"/>
            <c:spPr>
              <a:solidFill>
                <a:schemeClr val="tx1"/>
              </a:solidFill>
              <a:ln w="9525">
                <a:solidFill>
                  <a:sysClr val="windowText" lastClr="000000"/>
                </a:solidFill>
              </a:ln>
              <a:effectLst/>
            </c:spPr>
          </c:marker>
          <c:xVal>
            <c:numRef>
              <c:f>'Cadastro - Padrões Absorbância'!$G$6:$K$6</c:f>
              <c:numCache>
                <c:formatCode>General</c:formatCode>
                <c:ptCount val="5"/>
                <c:pt idx="0">
                  <c:v>440</c:v>
                </c:pt>
                <c:pt idx="1">
                  <c:v>465</c:v>
                </c:pt>
                <c:pt idx="2">
                  <c:v>546.1</c:v>
                </c:pt>
                <c:pt idx="3">
                  <c:v>590</c:v>
                </c:pt>
                <c:pt idx="4">
                  <c:v>635</c:v>
                </c:pt>
              </c:numCache>
            </c:numRef>
          </c:xVal>
          <c:yVal>
            <c:numRef>
              <c:f>'Cadastro - Padrões Absorbância'!$G$37:$K$37</c:f>
              <c:numCache>
                <c:formatCode>0.0000</c:formatCode>
                <c:ptCount val="5"/>
                <c:pt idx="0">
                  <c:v>1.000000000000445E-4</c:v>
                </c:pt>
                <c:pt idx="1">
                  <c:v>2.0000000000000573E-4</c:v>
                </c:pt>
                <c:pt idx="2">
                  <c:v>4.0000000000001146E-4</c:v>
                </c:pt>
                <c:pt idx="3">
                  <c:v>-9.9999999999988987E-5</c:v>
                </c:pt>
                <c:pt idx="4">
                  <c:v>0</c:v>
                </c:pt>
              </c:numCache>
            </c:numRef>
          </c:yVal>
          <c:smooth val="1"/>
          <c:extLst>
            <c:ext xmlns:c16="http://schemas.microsoft.com/office/drawing/2014/chart" uri="{C3380CC4-5D6E-409C-BE32-E72D297353CC}">
              <c16:uniqueId val="{00000000-95ED-4E79-81B9-55AEE4E9468E}"/>
            </c:ext>
          </c:extLst>
        </c:ser>
        <c:ser>
          <c:idx val="1"/>
          <c:order val="1"/>
          <c:tx>
            <c:v>Abs 0,25 - Deriva 2019 - 2021</c:v>
          </c:tx>
          <c:spPr>
            <a:ln w="3175">
              <a:solidFill>
                <a:srgbClr val="FFFF00"/>
              </a:solidFill>
            </a:ln>
          </c:spPr>
          <c:marker>
            <c:spPr>
              <a:solidFill>
                <a:schemeClr val="tx1"/>
              </a:solidFill>
            </c:spPr>
          </c:marker>
          <c:xVal>
            <c:numRef>
              <c:f>'Cadastro - Padrões Absorbância'!$G$6:$K$6</c:f>
              <c:numCache>
                <c:formatCode>General</c:formatCode>
                <c:ptCount val="5"/>
                <c:pt idx="0">
                  <c:v>440</c:v>
                </c:pt>
                <c:pt idx="1">
                  <c:v>465</c:v>
                </c:pt>
                <c:pt idx="2">
                  <c:v>546.1</c:v>
                </c:pt>
                <c:pt idx="3">
                  <c:v>590</c:v>
                </c:pt>
                <c:pt idx="4">
                  <c:v>635</c:v>
                </c:pt>
              </c:numCache>
            </c:numRef>
          </c:xVal>
          <c:yVal>
            <c:numRef>
              <c:f>'Cadastro - Padrões Absorbância'!$G$40:$K$40</c:f>
              <c:numCache>
                <c:formatCode>0.0000</c:formatCode>
                <c:ptCount val="5"/>
                <c:pt idx="0">
                  <c:v>-2.7000000000000357E-3</c:v>
                </c:pt>
                <c:pt idx="1">
                  <c:v>-2.6999999999999802E-3</c:v>
                </c:pt>
                <c:pt idx="2">
                  <c:v>-2.0999999999999908E-3</c:v>
                </c:pt>
                <c:pt idx="3">
                  <c:v>-1.1999999999999789E-3</c:v>
                </c:pt>
                <c:pt idx="4">
                  <c:v>-1.4000000000000123E-3</c:v>
                </c:pt>
              </c:numCache>
            </c:numRef>
          </c:yVal>
          <c:smooth val="1"/>
          <c:extLst>
            <c:ext xmlns:c16="http://schemas.microsoft.com/office/drawing/2014/chart" uri="{C3380CC4-5D6E-409C-BE32-E72D297353CC}">
              <c16:uniqueId val="{00000001-95ED-4E79-81B9-55AEE4E9468E}"/>
            </c:ext>
          </c:extLst>
        </c:ser>
        <c:ser>
          <c:idx val="2"/>
          <c:order val="2"/>
          <c:tx>
            <c:v>Abs 0,25 - Deriva 2014 - 2021</c:v>
          </c:tx>
          <c:spPr>
            <a:ln w="9525" cmpd="sng">
              <a:solidFill>
                <a:srgbClr val="00B050"/>
              </a:solidFill>
              <a:headEnd type="none" w="sm" len="sm"/>
            </a:ln>
          </c:spPr>
          <c:marker>
            <c:symbol val="triangle"/>
            <c:size val="3"/>
            <c:spPr>
              <a:solidFill>
                <a:srgbClr val="00B050"/>
              </a:solidFill>
              <a:ln cmpd="sng">
                <a:solidFill>
                  <a:srgbClr val="00B050"/>
                </a:solidFill>
              </a:ln>
            </c:spPr>
          </c:marker>
          <c:xVal>
            <c:numRef>
              <c:f>'Cadastro - Padrões Absorbância'!$G$6:$K$6</c:f>
              <c:numCache>
                <c:formatCode>General</c:formatCode>
                <c:ptCount val="5"/>
                <c:pt idx="0">
                  <c:v>440</c:v>
                </c:pt>
                <c:pt idx="1">
                  <c:v>465</c:v>
                </c:pt>
                <c:pt idx="2">
                  <c:v>546.1</c:v>
                </c:pt>
                <c:pt idx="3">
                  <c:v>590</c:v>
                </c:pt>
                <c:pt idx="4">
                  <c:v>635</c:v>
                </c:pt>
              </c:numCache>
            </c:numRef>
          </c:xVal>
          <c:yVal>
            <c:numRef>
              <c:f>'Cadastro - Padrões Absorbância'!$G$43:$K$43</c:f>
              <c:numCache>
                <c:formatCode>0.0000</c:formatCode>
                <c:ptCount val="5"/>
                <c:pt idx="0">
                  <c:v>-2.5999999999999912E-3</c:v>
                </c:pt>
                <c:pt idx="1">
                  <c:v>-2.4999999999999745E-3</c:v>
                </c:pt>
                <c:pt idx="2">
                  <c:v>-1.6999999999999793E-3</c:v>
                </c:pt>
                <c:pt idx="3">
                  <c:v>-1.2999999999999678E-3</c:v>
                </c:pt>
                <c:pt idx="4">
                  <c:v>-1.4000000000000123E-3</c:v>
                </c:pt>
              </c:numCache>
            </c:numRef>
          </c:yVal>
          <c:smooth val="1"/>
          <c:extLst>
            <c:ext xmlns:c16="http://schemas.microsoft.com/office/drawing/2014/chart" uri="{C3380CC4-5D6E-409C-BE32-E72D297353CC}">
              <c16:uniqueId val="{00000002-95ED-4E79-81B9-55AEE4E9468E}"/>
            </c:ext>
          </c:extLst>
        </c:ser>
        <c:dLbls>
          <c:showLegendKey val="0"/>
          <c:showVal val="0"/>
          <c:showCatName val="0"/>
          <c:showSerName val="0"/>
          <c:showPercent val="0"/>
          <c:showBubbleSize val="0"/>
        </c:dLbls>
        <c:axId val="84955520"/>
        <c:axId val="84957440"/>
      </c:scatterChart>
      <c:valAx>
        <c:axId val="84955520"/>
        <c:scaling>
          <c:orientation val="minMax"/>
          <c:max val="700"/>
          <c:min val="4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pt-BR" sz="1100" b="1">
                    <a:solidFill>
                      <a:sysClr val="windowText" lastClr="000000"/>
                    </a:solidFill>
                  </a:rPr>
                  <a:t>Comprimento</a:t>
                </a:r>
                <a:r>
                  <a:rPr lang="pt-BR" sz="1100" b="1" baseline="0">
                    <a:solidFill>
                      <a:sysClr val="windowText" lastClr="000000"/>
                    </a:solidFill>
                  </a:rPr>
                  <a:t> de Onda [nm]</a:t>
                </a:r>
                <a:endParaRPr lang="pt-BR" sz="1100" b="1">
                  <a:solidFill>
                    <a:sysClr val="windowText" lastClr="000000"/>
                  </a:solidFill>
                </a:endParaRPr>
              </a:p>
            </c:rich>
          </c:tx>
          <c:overlay val="0"/>
          <c:spPr>
            <a:noFill/>
            <a:ln w="25400">
              <a:noFill/>
            </a:ln>
          </c:spPr>
        </c:title>
        <c:numFmt formatCode="General" sourceLinked="0"/>
        <c:majorTickMark val="out"/>
        <c:minorTickMark val="none"/>
        <c:tickLblPos val="low"/>
        <c:spPr>
          <a:noFill/>
          <a:ln w="9525" cap="flat" cmpd="sng" algn="ctr">
            <a:solidFill>
              <a:schemeClr val="tx1"/>
            </a:solidFill>
            <a:round/>
          </a:ln>
          <a:effectLst/>
        </c:spPr>
        <c:txPr>
          <a:bodyPr rot="0" vert="horz"/>
          <a:lstStyle/>
          <a:p>
            <a:pPr>
              <a:defRPr sz="900" b="1" i="0" u="none" strike="noStrike" baseline="0">
                <a:solidFill>
                  <a:srgbClr val="333333"/>
                </a:solidFill>
                <a:latin typeface="Calibri"/>
                <a:ea typeface="Calibri"/>
                <a:cs typeface="Calibri"/>
              </a:defRPr>
            </a:pPr>
            <a:endParaRPr lang="pt-BR"/>
          </a:p>
        </c:txPr>
        <c:crossAx val="84957440"/>
        <c:crosses val="autoZero"/>
        <c:crossBetween val="midCat"/>
        <c:majorUnit val="20"/>
        <c:minorUnit val="10"/>
      </c:valAx>
      <c:valAx>
        <c:axId val="84957440"/>
        <c:scaling>
          <c:orientation val="minMax"/>
          <c:max val="1.0000000000000007E-3"/>
          <c:min val="-3.0000000000000018E-3"/>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pt-BR" sz="1100" b="1">
                    <a:solidFill>
                      <a:sysClr val="windowText" lastClr="000000"/>
                    </a:solidFill>
                  </a:rPr>
                  <a:t>Deriva</a:t>
                </a:r>
                <a:r>
                  <a:rPr lang="pt-BR" sz="1100" b="1" baseline="0">
                    <a:solidFill>
                      <a:sysClr val="windowText" lastClr="000000"/>
                    </a:solidFill>
                  </a:rPr>
                  <a:t> da </a:t>
                </a:r>
                <a:r>
                  <a:rPr lang="pt-BR" sz="1100" b="1">
                    <a:solidFill>
                      <a:sysClr val="windowText" lastClr="000000"/>
                    </a:solidFill>
                  </a:rPr>
                  <a:t>Absorbância</a:t>
                </a:r>
              </a:p>
            </c:rich>
          </c:tx>
          <c:overlay val="0"/>
          <c:spPr>
            <a:noFill/>
            <a:ln w="25400">
              <a:noFill/>
            </a:ln>
          </c:spPr>
        </c:title>
        <c:numFmt formatCode="0.000" sourceLinked="0"/>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pt-BR"/>
          </a:p>
        </c:txPr>
        <c:crossAx val="84955520"/>
        <c:crossesAt val="400"/>
        <c:crossBetween val="midCat"/>
      </c:valAx>
      <c:spPr>
        <a:noFill/>
        <a:ln>
          <a:solidFill>
            <a:schemeClr val="tx1"/>
          </a:solidFill>
        </a:ln>
        <a:effectLst/>
      </c:spPr>
    </c:plotArea>
    <c:legend>
      <c:legendPos val="r"/>
      <c:layout>
        <c:manualLayout>
          <c:xMode val="edge"/>
          <c:yMode val="edge"/>
          <c:x val="0.75848335432059455"/>
          <c:y val="0.7068348528802324"/>
          <c:w val="0.19100743909901435"/>
          <c:h val="0.16718711147948606"/>
        </c:manualLayout>
      </c:layout>
      <c:overlay val="0"/>
    </c:legend>
    <c:plotVisOnly val="1"/>
    <c:dispBlanksAs val="gap"/>
    <c:showDLblsOverMax val="0"/>
  </c:chart>
  <c:spPr>
    <a:solidFill>
      <a:schemeClr val="bg1"/>
    </a:solidFill>
    <a:ln w="9525" cap="flat" cmpd="sng" algn="ctr">
      <a:solidFill>
        <a:schemeClr val="tx1">
          <a:alpha val="99000"/>
        </a:schemeClr>
      </a:solidFill>
      <a:round/>
    </a:ln>
    <a:effectLst/>
  </c:spPr>
  <c:txPr>
    <a:bodyPr/>
    <a:lstStyle/>
    <a:p>
      <a:pPr>
        <a:defRPr/>
      </a:pPr>
      <a:endParaRPr lang="pt-BR"/>
    </a:p>
  </c:txPr>
  <c:printSettings>
    <c:headerFooter/>
    <c:pageMargins b="0.78740157499999996" l="0.511811024" r="0.511811024" t="0.78740157499999996" header="0.31496062000000014" footer="0.3149606200000001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20.xml"/><Relationship Id="rId3" Type="http://schemas.openxmlformats.org/officeDocument/2006/relationships/chart" Target="../charts/chart15.xml"/><Relationship Id="rId7" Type="http://schemas.openxmlformats.org/officeDocument/2006/relationships/chart" Target="../charts/chart19.xml"/><Relationship Id="rId12" Type="http://schemas.openxmlformats.org/officeDocument/2006/relationships/chart" Target="../charts/chart24.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3.xml"/><Relationship Id="rId5" Type="http://schemas.openxmlformats.org/officeDocument/2006/relationships/chart" Target="../charts/chart17.xml"/><Relationship Id="rId10" Type="http://schemas.openxmlformats.org/officeDocument/2006/relationships/chart" Target="../charts/chart22.xml"/><Relationship Id="rId4" Type="http://schemas.openxmlformats.org/officeDocument/2006/relationships/chart" Target="../charts/chart16.xml"/><Relationship Id="rId9" Type="http://schemas.openxmlformats.org/officeDocument/2006/relationships/chart" Target="../charts/chart21.xml"/></Relationships>
</file>

<file path=xl/drawings/_rels/drawing1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4" Type="http://schemas.openxmlformats.org/officeDocument/2006/relationships/chart" Target="../charts/chart28.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31.xml"/><Relationship Id="rId7" Type="http://schemas.openxmlformats.org/officeDocument/2006/relationships/chart" Target="../charts/chart35.xml"/><Relationship Id="rId2" Type="http://schemas.openxmlformats.org/officeDocument/2006/relationships/chart" Target="../charts/chart30.xml"/><Relationship Id="rId1" Type="http://schemas.openxmlformats.org/officeDocument/2006/relationships/chart" Target="../charts/chart29.xml"/><Relationship Id="rId6" Type="http://schemas.openxmlformats.org/officeDocument/2006/relationships/chart" Target="../charts/chart34.xml"/><Relationship Id="rId5" Type="http://schemas.openxmlformats.org/officeDocument/2006/relationships/chart" Target="../charts/chart33.xml"/><Relationship Id="rId4"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xdr:from>
      <xdr:col>7</xdr:col>
      <xdr:colOff>10585</xdr:colOff>
      <xdr:row>51</xdr:row>
      <xdr:rowOff>22490</xdr:rowOff>
    </xdr:from>
    <xdr:to>
      <xdr:col>19</xdr:col>
      <xdr:colOff>20108</xdr:colOff>
      <xdr:row>76</xdr:row>
      <xdr:rowOff>22490</xdr:rowOff>
    </xdr:to>
    <xdr:graphicFrame macro="">
      <xdr:nvGraphicFramePr>
        <xdr:cNvPr id="4648539" name="Gráfico 9">
          <a:extLst>
            <a:ext uri="{FF2B5EF4-FFF2-40B4-BE49-F238E27FC236}">
              <a16:creationId xmlns:a16="http://schemas.microsoft.com/office/drawing/2014/main" id="{FD04287C-9B6B-462E-8D5D-88CAE76511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11641</xdr:colOff>
      <xdr:row>76</xdr:row>
      <xdr:rowOff>22225</xdr:rowOff>
    </xdr:from>
    <xdr:to>
      <xdr:col>19</xdr:col>
      <xdr:colOff>20108</xdr:colOff>
      <xdr:row>101</xdr:row>
      <xdr:rowOff>31750</xdr:rowOff>
    </xdr:to>
    <xdr:graphicFrame macro="">
      <xdr:nvGraphicFramePr>
        <xdr:cNvPr id="4648540" name="Gráfico 13">
          <a:extLst>
            <a:ext uri="{FF2B5EF4-FFF2-40B4-BE49-F238E27FC236}">
              <a16:creationId xmlns:a16="http://schemas.microsoft.com/office/drawing/2014/main" id="{BE1455CA-8884-4CE6-A906-DAA9350E85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14289</xdr:colOff>
      <xdr:row>101</xdr:row>
      <xdr:rowOff>33337</xdr:rowOff>
    </xdr:from>
    <xdr:to>
      <xdr:col>19</xdr:col>
      <xdr:colOff>30957</xdr:colOff>
      <xdr:row>126</xdr:row>
      <xdr:rowOff>14287</xdr:rowOff>
    </xdr:to>
    <xdr:graphicFrame macro="">
      <xdr:nvGraphicFramePr>
        <xdr:cNvPr id="4648541" name="Gráfico 7">
          <a:extLst>
            <a:ext uri="{FF2B5EF4-FFF2-40B4-BE49-F238E27FC236}">
              <a16:creationId xmlns:a16="http://schemas.microsoft.com/office/drawing/2014/main" id="{D7538EFA-5900-4A9A-BA35-8FCCF9500A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752475</xdr:colOff>
      <xdr:row>125</xdr:row>
      <xdr:rowOff>180975</xdr:rowOff>
    </xdr:from>
    <xdr:to>
      <xdr:col>19</xdr:col>
      <xdr:colOff>28575</xdr:colOff>
      <xdr:row>150</xdr:row>
      <xdr:rowOff>180975</xdr:rowOff>
    </xdr:to>
    <xdr:graphicFrame macro="">
      <xdr:nvGraphicFramePr>
        <xdr:cNvPr id="4648542" name="Gráfico 15">
          <a:extLst>
            <a:ext uri="{FF2B5EF4-FFF2-40B4-BE49-F238E27FC236}">
              <a16:creationId xmlns:a16="http://schemas.microsoft.com/office/drawing/2014/main" id="{F2B9C2E5-F11D-4EB6-9FE6-5CBC4B2393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9525</xdr:colOff>
      <xdr:row>175</xdr:row>
      <xdr:rowOff>171450</xdr:rowOff>
    </xdr:from>
    <xdr:to>
      <xdr:col>19</xdr:col>
      <xdr:colOff>28575</xdr:colOff>
      <xdr:row>201</xdr:row>
      <xdr:rowOff>0</xdr:rowOff>
    </xdr:to>
    <xdr:graphicFrame macro="">
      <xdr:nvGraphicFramePr>
        <xdr:cNvPr id="4648543" name="Gráfico 9">
          <a:extLst>
            <a:ext uri="{FF2B5EF4-FFF2-40B4-BE49-F238E27FC236}">
              <a16:creationId xmlns:a16="http://schemas.microsoft.com/office/drawing/2014/main" id="{52E56A68-E6DF-40A6-B2F8-7DB32D0377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9525</xdr:colOff>
      <xdr:row>225</xdr:row>
      <xdr:rowOff>189442</xdr:rowOff>
    </xdr:from>
    <xdr:to>
      <xdr:col>19</xdr:col>
      <xdr:colOff>28575</xdr:colOff>
      <xdr:row>250</xdr:row>
      <xdr:rowOff>179917</xdr:rowOff>
    </xdr:to>
    <xdr:graphicFrame macro="">
      <xdr:nvGraphicFramePr>
        <xdr:cNvPr id="4648544" name="Gráfico 7">
          <a:extLst>
            <a:ext uri="{FF2B5EF4-FFF2-40B4-BE49-F238E27FC236}">
              <a16:creationId xmlns:a16="http://schemas.microsoft.com/office/drawing/2014/main" id="{BFDA75A2-A0DA-4333-99A7-6F798BEBA3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9525</xdr:colOff>
      <xdr:row>150</xdr:row>
      <xdr:rowOff>180975</xdr:rowOff>
    </xdr:from>
    <xdr:to>
      <xdr:col>19</xdr:col>
      <xdr:colOff>28575</xdr:colOff>
      <xdr:row>175</xdr:row>
      <xdr:rowOff>171450</xdr:rowOff>
    </xdr:to>
    <xdr:graphicFrame macro="">
      <xdr:nvGraphicFramePr>
        <xdr:cNvPr id="4648545" name="Gráfico 7">
          <a:extLst>
            <a:ext uri="{FF2B5EF4-FFF2-40B4-BE49-F238E27FC236}">
              <a16:creationId xmlns:a16="http://schemas.microsoft.com/office/drawing/2014/main" id="{413DCC83-DB01-4D15-9FBA-F381FE72CE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10849</xdr:colOff>
      <xdr:row>250</xdr:row>
      <xdr:rowOff>188383</xdr:rowOff>
    </xdr:from>
    <xdr:to>
      <xdr:col>19</xdr:col>
      <xdr:colOff>29899</xdr:colOff>
      <xdr:row>275</xdr:row>
      <xdr:rowOff>140758</xdr:rowOff>
    </xdr:to>
    <xdr:graphicFrame macro="">
      <xdr:nvGraphicFramePr>
        <xdr:cNvPr id="4648546" name="Gráfico 6">
          <a:extLst>
            <a:ext uri="{FF2B5EF4-FFF2-40B4-BE49-F238E27FC236}">
              <a16:creationId xmlns:a16="http://schemas.microsoft.com/office/drawing/2014/main" id="{0D2604F1-FA66-409A-AACB-841E8593C2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10583</xdr:colOff>
      <xdr:row>201</xdr:row>
      <xdr:rowOff>10584</xdr:rowOff>
    </xdr:from>
    <xdr:to>
      <xdr:col>19</xdr:col>
      <xdr:colOff>29633</xdr:colOff>
      <xdr:row>226</xdr:row>
      <xdr:rowOff>29634</xdr:rowOff>
    </xdr:to>
    <xdr:graphicFrame macro="">
      <xdr:nvGraphicFramePr>
        <xdr:cNvPr id="10" name="Gráfico 9">
          <a:extLst>
            <a:ext uri="{FF2B5EF4-FFF2-40B4-BE49-F238E27FC236}">
              <a16:creationId xmlns:a16="http://schemas.microsoft.com/office/drawing/2014/main" id="{ABA9B106-45E3-44F7-B012-4823323D98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276</xdr:row>
      <xdr:rowOff>0</xdr:rowOff>
    </xdr:from>
    <xdr:to>
      <xdr:col>19</xdr:col>
      <xdr:colOff>19050</xdr:colOff>
      <xdr:row>301</xdr:row>
      <xdr:rowOff>0</xdr:rowOff>
    </xdr:to>
    <xdr:graphicFrame macro="">
      <xdr:nvGraphicFramePr>
        <xdr:cNvPr id="11" name="Gráfico 6">
          <a:extLst>
            <a:ext uri="{FF2B5EF4-FFF2-40B4-BE49-F238E27FC236}">
              <a16:creationId xmlns:a16="http://schemas.microsoft.com/office/drawing/2014/main" id="{D18FFBD8-24E5-4253-978A-FA03A83DF1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0</xdr:colOff>
      <xdr:row>301</xdr:row>
      <xdr:rowOff>0</xdr:rowOff>
    </xdr:from>
    <xdr:to>
      <xdr:col>19</xdr:col>
      <xdr:colOff>19050</xdr:colOff>
      <xdr:row>326</xdr:row>
      <xdr:rowOff>10583</xdr:rowOff>
    </xdr:to>
    <xdr:graphicFrame macro="">
      <xdr:nvGraphicFramePr>
        <xdr:cNvPr id="12" name="Gráfico 6">
          <a:extLst>
            <a:ext uri="{FF2B5EF4-FFF2-40B4-BE49-F238E27FC236}">
              <a16:creationId xmlns:a16="http://schemas.microsoft.com/office/drawing/2014/main" id="{029FF5FA-03E0-486F-8867-486AD88088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0</xdr:colOff>
      <xdr:row>326</xdr:row>
      <xdr:rowOff>1</xdr:rowOff>
    </xdr:from>
    <xdr:to>
      <xdr:col>19</xdr:col>
      <xdr:colOff>19050</xdr:colOff>
      <xdr:row>351</xdr:row>
      <xdr:rowOff>10584</xdr:rowOff>
    </xdr:to>
    <xdr:graphicFrame macro="">
      <xdr:nvGraphicFramePr>
        <xdr:cNvPr id="13" name="Gráfico 6">
          <a:extLst>
            <a:ext uri="{FF2B5EF4-FFF2-40B4-BE49-F238E27FC236}">
              <a16:creationId xmlns:a16="http://schemas.microsoft.com/office/drawing/2014/main" id="{73B7B7F7-88FC-41C6-961E-C12CD4571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0.05286</cdr:x>
      <cdr:y>0.21798</cdr:y>
    </cdr:from>
    <cdr:to>
      <cdr:x>0.09709</cdr:x>
      <cdr:y>0.39105</cdr:y>
    </cdr:to>
    <cdr:sp macro="" textlink="">
      <cdr:nvSpPr>
        <cdr:cNvPr id="2" name="CaixaDeTexto 1"/>
        <cdr:cNvSpPr txBox="1"/>
      </cdr:nvSpPr>
      <cdr:spPr>
        <a:xfrm xmlns:a="http://schemas.openxmlformats.org/drawingml/2006/main">
          <a:off x="466724" y="506083"/>
          <a:ext cx="390525" cy="4083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pt-BR"/>
        </a:p>
      </cdr:txBody>
    </cdr:sp>
  </cdr:relSizeAnchor>
</c:userShapes>
</file>

<file path=xl/drawings/drawing3.xml><?xml version="1.0" encoding="utf-8"?>
<c:userShapes xmlns:c="http://schemas.openxmlformats.org/drawingml/2006/chart">
  <cdr:relSizeAnchor xmlns:cdr="http://schemas.openxmlformats.org/drawingml/2006/chartDrawing">
    <cdr:from>
      <cdr:x>0.05035</cdr:x>
      <cdr:y>0.21511</cdr:y>
    </cdr:from>
    <cdr:to>
      <cdr:x>0.08118</cdr:x>
      <cdr:y>0.31931</cdr:y>
    </cdr:to>
    <cdr:sp macro="" textlink="">
      <cdr:nvSpPr>
        <cdr:cNvPr id="2" name="CaixaDeTexto 1"/>
        <cdr:cNvSpPr txBox="1"/>
      </cdr:nvSpPr>
      <cdr:spPr>
        <a:xfrm xmlns:a="http://schemas.openxmlformats.org/drawingml/2006/main">
          <a:off x="518583" y="677333"/>
          <a:ext cx="317500" cy="3280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pt-BR"/>
        </a:p>
      </cdr:txBody>
    </cdr:sp>
  </cdr:relSizeAnchor>
</c:userShapes>
</file>

<file path=xl/drawings/drawing4.xml><?xml version="1.0" encoding="utf-8"?>
<c:userShapes xmlns:c="http://schemas.openxmlformats.org/drawingml/2006/chart">
  <cdr:relSizeAnchor xmlns:cdr="http://schemas.openxmlformats.org/drawingml/2006/chartDrawing">
    <cdr:from>
      <cdr:x>0.05035</cdr:x>
      <cdr:y>0.21511</cdr:y>
    </cdr:from>
    <cdr:to>
      <cdr:x>0.08118</cdr:x>
      <cdr:y>0.31931</cdr:y>
    </cdr:to>
    <cdr:sp macro="" textlink="">
      <cdr:nvSpPr>
        <cdr:cNvPr id="2" name="CaixaDeTexto 1"/>
        <cdr:cNvSpPr txBox="1"/>
      </cdr:nvSpPr>
      <cdr:spPr>
        <a:xfrm xmlns:a="http://schemas.openxmlformats.org/drawingml/2006/main">
          <a:off x="518583" y="677333"/>
          <a:ext cx="317500" cy="3280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pt-BR"/>
        </a:p>
      </cdr:txBody>
    </cdr:sp>
  </cdr:relSizeAnchor>
</c:userShapes>
</file>

<file path=xl/drawings/drawing5.xml><?xml version="1.0" encoding="utf-8"?>
<c:userShapes xmlns:c="http://schemas.openxmlformats.org/drawingml/2006/chart">
  <cdr:relSizeAnchor xmlns:cdr="http://schemas.openxmlformats.org/drawingml/2006/chartDrawing">
    <cdr:from>
      <cdr:x>0.05035</cdr:x>
      <cdr:y>0.21511</cdr:y>
    </cdr:from>
    <cdr:to>
      <cdr:x>0.08118</cdr:x>
      <cdr:y>0.31931</cdr:y>
    </cdr:to>
    <cdr:sp macro="" textlink="">
      <cdr:nvSpPr>
        <cdr:cNvPr id="2" name="CaixaDeTexto 1"/>
        <cdr:cNvSpPr txBox="1"/>
      </cdr:nvSpPr>
      <cdr:spPr>
        <a:xfrm xmlns:a="http://schemas.openxmlformats.org/drawingml/2006/main">
          <a:off x="518583" y="677333"/>
          <a:ext cx="317500" cy="3280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pt-BR"/>
        </a:p>
      </cdr:txBody>
    </cdr:sp>
  </cdr:relSizeAnchor>
</c:userShapes>
</file>

<file path=xl/drawings/drawing6.xml><?xml version="1.0" encoding="utf-8"?>
<c:userShapes xmlns:c="http://schemas.openxmlformats.org/drawingml/2006/chart">
  <cdr:relSizeAnchor xmlns:cdr="http://schemas.openxmlformats.org/drawingml/2006/chartDrawing">
    <cdr:from>
      <cdr:x>0.05035</cdr:x>
      <cdr:y>0.21511</cdr:y>
    </cdr:from>
    <cdr:to>
      <cdr:x>0.08118</cdr:x>
      <cdr:y>0.31931</cdr:y>
    </cdr:to>
    <cdr:sp macro="" textlink="">
      <cdr:nvSpPr>
        <cdr:cNvPr id="2" name="CaixaDeTexto 1"/>
        <cdr:cNvSpPr txBox="1"/>
      </cdr:nvSpPr>
      <cdr:spPr>
        <a:xfrm xmlns:a="http://schemas.openxmlformats.org/drawingml/2006/main">
          <a:off x="518583" y="677333"/>
          <a:ext cx="317500" cy="3280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pt-BR"/>
        </a:p>
      </cdr:txBody>
    </cdr:sp>
  </cdr:relSizeAnchor>
</c:userShapes>
</file>

<file path=xl/drawings/drawing7.xml><?xml version="1.0" encoding="utf-8"?>
<c:userShapes xmlns:c="http://schemas.openxmlformats.org/drawingml/2006/chart">
  <cdr:relSizeAnchor xmlns:cdr="http://schemas.openxmlformats.org/drawingml/2006/chartDrawing">
    <cdr:from>
      <cdr:x>0.05035</cdr:x>
      <cdr:y>0.21511</cdr:y>
    </cdr:from>
    <cdr:to>
      <cdr:x>0.08118</cdr:x>
      <cdr:y>0.31931</cdr:y>
    </cdr:to>
    <cdr:sp macro="" textlink="">
      <cdr:nvSpPr>
        <cdr:cNvPr id="2" name="CaixaDeTexto 1"/>
        <cdr:cNvSpPr txBox="1"/>
      </cdr:nvSpPr>
      <cdr:spPr>
        <a:xfrm xmlns:a="http://schemas.openxmlformats.org/drawingml/2006/main">
          <a:off x="518583" y="677333"/>
          <a:ext cx="317500" cy="3280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pt-BR"/>
        </a:p>
      </cdr:txBody>
    </cdr:sp>
  </cdr:relSizeAnchor>
</c:userShapes>
</file>

<file path=xl/drawings/drawing8.xml><?xml version="1.0" encoding="utf-8"?>
<c:userShapes xmlns:c="http://schemas.openxmlformats.org/drawingml/2006/chart">
  <cdr:relSizeAnchor xmlns:cdr="http://schemas.openxmlformats.org/drawingml/2006/chartDrawing">
    <cdr:from>
      <cdr:x>0.05035</cdr:x>
      <cdr:y>0.21511</cdr:y>
    </cdr:from>
    <cdr:to>
      <cdr:x>0.08118</cdr:x>
      <cdr:y>0.31931</cdr:y>
    </cdr:to>
    <cdr:sp macro="" textlink="">
      <cdr:nvSpPr>
        <cdr:cNvPr id="2" name="CaixaDeTexto 1"/>
        <cdr:cNvSpPr txBox="1"/>
      </cdr:nvSpPr>
      <cdr:spPr>
        <a:xfrm xmlns:a="http://schemas.openxmlformats.org/drawingml/2006/main">
          <a:off x="518583" y="677333"/>
          <a:ext cx="317500" cy="3280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pt-BR"/>
        </a:p>
      </cdr:txBody>
    </cdr:sp>
  </cdr:relSizeAnchor>
</c:userShapes>
</file>

<file path=xl/drawings/drawing9.xml><?xml version="1.0" encoding="utf-8"?>
<c:userShapes xmlns:c="http://schemas.openxmlformats.org/drawingml/2006/chart">
  <cdr:relSizeAnchor xmlns:cdr="http://schemas.openxmlformats.org/drawingml/2006/chartDrawing">
    <cdr:from>
      <cdr:x>0.05035</cdr:x>
      <cdr:y>0.21511</cdr:y>
    </cdr:from>
    <cdr:to>
      <cdr:x>0.08118</cdr:x>
      <cdr:y>0.31931</cdr:y>
    </cdr:to>
    <cdr:sp macro="" textlink="">
      <cdr:nvSpPr>
        <cdr:cNvPr id="2" name="CaixaDeTexto 1"/>
        <cdr:cNvSpPr txBox="1"/>
      </cdr:nvSpPr>
      <cdr:spPr>
        <a:xfrm xmlns:a="http://schemas.openxmlformats.org/drawingml/2006/main">
          <a:off x="518583" y="677333"/>
          <a:ext cx="317500" cy="3280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pt-BR"/>
        </a:p>
      </cdr:txBody>
    </cdr:sp>
  </cdr:relSizeAnchor>
</c:userShapes>
</file>

<file path=xl/drawings/drawing10.xml><?xml version="1.0" encoding="utf-8"?>
<xdr:wsDr xmlns:xdr="http://schemas.openxmlformats.org/drawingml/2006/spreadsheetDrawing" xmlns:a="http://schemas.openxmlformats.org/drawingml/2006/main">
  <xdr:twoCellAnchor>
    <xdr:from>
      <xdr:col>7</xdr:col>
      <xdr:colOff>12783</xdr:colOff>
      <xdr:row>50</xdr:row>
      <xdr:rowOff>190499</xdr:rowOff>
    </xdr:from>
    <xdr:to>
      <xdr:col>19</xdr:col>
      <xdr:colOff>22306</xdr:colOff>
      <xdr:row>76</xdr:row>
      <xdr:rowOff>78541</xdr:rowOff>
    </xdr:to>
    <xdr:graphicFrame macro="">
      <xdr:nvGraphicFramePr>
        <xdr:cNvPr id="2" name="Gráfico 9">
          <a:extLst>
            <a:ext uri="{FF2B5EF4-FFF2-40B4-BE49-F238E27FC236}">
              <a16:creationId xmlns:a16="http://schemas.microsoft.com/office/drawing/2014/main" id="{FF0DB8BD-6597-463A-9FB4-C10B37A085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11641</xdr:colOff>
      <xdr:row>76</xdr:row>
      <xdr:rowOff>22225</xdr:rowOff>
    </xdr:from>
    <xdr:to>
      <xdr:col>19</xdr:col>
      <xdr:colOff>20108</xdr:colOff>
      <xdr:row>101</xdr:row>
      <xdr:rowOff>31750</xdr:rowOff>
    </xdr:to>
    <xdr:graphicFrame macro="">
      <xdr:nvGraphicFramePr>
        <xdr:cNvPr id="3" name="Gráfico 13">
          <a:extLst>
            <a:ext uri="{FF2B5EF4-FFF2-40B4-BE49-F238E27FC236}">
              <a16:creationId xmlns:a16="http://schemas.microsoft.com/office/drawing/2014/main" id="{194BCE51-7FB0-41D4-A1D4-1EAEB11968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14289</xdr:colOff>
      <xdr:row>101</xdr:row>
      <xdr:rowOff>33337</xdr:rowOff>
    </xdr:from>
    <xdr:to>
      <xdr:col>19</xdr:col>
      <xdr:colOff>30957</xdr:colOff>
      <xdr:row>126</xdr:row>
      <xdr:rowOff>14287</xdr:rowOff>
    </xdr:to>
    <xdr:graphicFrame macro="">
      <xdr:nvGraphicFramePr>
        <xdr:cNvPr id="4" name="Gráfico 7">
          <a:extLst>
            <a:ext uri="{FF2B5EF4-FFF2-40B4-BE49-F238E27FC236}">
              <a16:creationId xmlns:a16="http://schemas.microsoft.com/office/drawing/2014/main" id="{8F045E81-62B7-41DA-B1CB-8FF1324D8C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752475</xdr:colOff>
      <xdr:row>125</xdr:row>
      <xdr:rowOff>180975</xdr:rowOff>
    </xdr:from>
    <xdr:to>
      <xdr:col>19</xdr:col>
      <xdr:colOff>28575</xdr:colOff>
      <xdr:row>150</xdr:row>
      <xdr:rowOff>180975</xdr:rowOff>
    </xdr:to>
    <xdr:graphicFrame macro="">
      <xdr:nvGraphicFramePr>
        <xdr:cNvPr id="5" name="Gráfico 15">
          <a:extLst>
            <a:ext uri="{FF2B5EF4-FFF2-40B4-BE49-F238E27FC236}">
              <a16:creationId xmlns:a16="http://schemas.microsoft.com/office/drawing/2014/main" id="{F5DA612B-DB2A-4B37-873B-37071DCA4F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9525</xdr:colOff>
      <xdr:row>175</xdr:row>
      <xdr:rowOff>171450</xdr:rowOff>
    </xdr:from>
    <xdr:to>
      <xdr:col>19</xdr:col>
      <xdr:colOff>28575</xdr:colOff>
      <xdr:row>201</xdr:row>
      <xdr:rowOff>0</xdr:rowOff>
    </xdr:to>
    <xdr:graphicFrame macro="">
      <xdr:nvGraphicFramePr>
        <xdr:cNvPr id="6" name="Gráfico 9">
          <a:extLst>
            <a:ext uri="{FF2B5EF4-FFF2-40B4-BE49-F238E27FC236}">
              <a16:creationId xmlns:a16="http://schemas.microsoft.com/office/drawing/2014/main" id="{9845C60F-342A-44DA-A0E3-644D6929AD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9525</xdr:colOff>
      <xdr:row>225</xdr:row>
      <xdr:rowOff>189442</xdr:rowOff>
    </xdr:from>
    <xdr:to>
      <xdr:col>19</xdr:col>
      <xdr:colOff>28575</xdr:colOff>
      <xdr:row>250</xdr:row>
      <xdr:rowOff>179917</xdr:rowOff>
    </xdr:to>
    <xdr:graphicFrame macro="">
      <xdr:nvGraphicFramePr>
        <xdr:cNvPr id="7" name="Gráfico 7">
          <a:extLst>
            <a:ext uri="{FF2B5EF4-FFF2-40B4-BE49-F238E27FC236}">
              <a16:creationId xmlns:a16="http://schemas.microsoft.com/office/drawing/2014/main" id="{0E17ED2C-00E9-4372-B59D-E9710F0B94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9525</xdr:colOff>
      <xdr:row>150</xdr:row>
      <xdr:rowOff>180975</xdr:rowOff>
    </xdr:from>
    <xdr:to>
      <xdr:col>19</xdr:col>
      <xdr:colOff>28575</xdr:colOff>
      <xdr:row>175</xdr:row>
      <xdr:rowOff>171450</xdr:rowOff>
    </xdr:to>
    <xdr:graphicFrame macro="">
      <xdr:nvGraphicFramePr>
        <xdr:cNvPr id="8" name="Gráfico 7">
          <a:extLst>
            <a:ext uri="{FF2B5EF4-FFF2-40B4-BE49-F238E27FC236}">
              <a16:creationId xmlns:a16="http://schemas.microsoft.com/office/drawing/2014/main" id="{7AB48D26-C96A-4266-8165-812219BCCD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10849</xdr:colOff>
      <xdr:row>250</xdr:row>
      <xdr:rowOff>188383</xdr:rowOff>
    </xdr:from>
    <xdr:to>
      <xdr:col>19</xdr:col>
      <xdr:colOff>29899</xdr:colOff>
      <xdr:row>275</xdr:row>
      <xdr:rowOff>140758</xdr:rowOff>
    </xdr:to>
    <xdr:graphicFrame macro="">
      <xdr:nvGraphicFramePr>
        <xdr:cNvPr id="9" name="Gráfico 6">
          <a:extLst>
            <a:ext uri="{FF2B5EF4-FFF2-40B4-BE49-F238E27FC236}">
              <a16:creationId xmlns:a16="http://schemas.microsoft.com/office/drawing/2014/main" id="{A13CD2EC-0654-4356-AA03-6C7CAB6622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10583</xdr:colOff>
      <xdr:row>201</xdr:row>
      <xdr:rowOff>10584</xdr:rowOff>
    </xdr:from>
    <xdr:to>
      <xdr:col>19</xdr:col>
      <xdr:colOff>29633</xdr:colOff>
      <xdr:row>226</xdr:row>
      <xdr:rowOff>29634</xdr:rowOff>
    </xdr:to>
    <xdr:graphicFrame macro="">
      <xdr:nvGraphicFramePr>
        <xdr:cNvPr id="10" name="Gráfico 9">
          <a:extLst>
            <a:ext uri="{FF2B5EF4-FFF2-40B4-BE49-F238E27FC236}">
              <a16:creationId xmlns:a16="http://schemas.microsoft.com/office/drawing/2014/main" id="{2EE19379-D8F7-4AE2-B704-44DCE34F67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276</xdr:row>
      <xdr:rowOff>0</xdr:rowOff>
    </xdr:from>
    <xdr:to>
      <xdr:col>19</xdr:col>
      <xdr:colOff>19050</xdr:colOff>
      <xdr:row>301</xdr:row>
      <xdr:rowOff>0</xdr:rowOff>
    </xdr:to>
    <xdr:graphicFrame macro="">
      <xdr:nvGraphicFramePr>
        <xdr:cNvPr id="11" name="Gráfico 6">
          <a:extLst>
            <a:ext uri="{FF2B5EF4-FFF2-40B4-BE49-F238E27FC236}">
              <a16:creationId xmlns:a16="http://schemas.microsoft.com/office/drawing/2014/main" id="{E77836C9-DC82-4663-958D-2578577BF8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0</xdr:colOff>
      <xdr:row>301</xdr:row>
      <xdr:rowOff>0</xdr:rowOff>
    </xdr:from>
    <xdr:to>
      <xdr:col>19</xdr:col>
      <xdr:colOff>19050</xdr:colOff>
      <xdr:row>326</xdr:row>
      <xdr:rowOff>10583</xdr:rowOff>
    </xdr:to>
    <xdr:graphicFrame macro="">
      <xdr:nvGraphicFramePr>
        <xdr:cNvPr id="12" name="Gráfico 6">
          <a:extLst>
            <a:ext uri="{FF2B5EF4-FFF2-40B4-BE49-F238E27FC236}">
              <a16:creationId xmlns:a16="http://schemas.microsoft.com/office/drawing/2014/main" id="{06C768D9-0736-4982-8FC6-D046E6627B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0</xdr:colOff>
      <xdr:row>326</xdr:row>
      <xdr:rowOff>1</xdr:rowOff>
    </xdr:from>
    <xdr:to>
      <xdr:col>19</xdr:col>
      <xdr:colOff>19050</xdr:colOff>
      <xdr:row>351</xdr:row>
      <xdr:rowOff>10584</xdr:rowOff>
    </xdr:to>
    <xdr:graphicFrame macro="">
      <xdr:nvGraphicFramePr>
        <xdr:cNvPr id="13" name="Gráfico 6">
          <a:extLst>
            <a:ext uri="{FF2B5EF4-FFF2-40B4-BE49-F238E27FC236}">
              <a16:creationId xmlns:a16="http://schemas.microsoft.com/office/drawing/2014/main" id="{9E5EE5B3-B2A1-4E64-A95D-7945B02ECB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0.05286</cdr:x>
      <cdr:y>0.21798</cdr:y>
    </cdr:from>
    <cdr:to>
      <cdr:x>0.09709</cdr:x>
      <cdr:y>0.39105</cdr:y>
    </cdr:to>
    <cdr:sp macro="" textlink="">
      <cdr:nvSpPr>
        <cdr:cNvPr id="2" name="CaixaDeTexto 1"/>
        <cdr:cNvSpPr txBox="1"/>
      </cdr:nvSpPr>
      <cdr:spPr>
        <a:xfrm xmlns:a="http://schemas.openxmlformats.org/drawingml/2006/main">
          <a:off x="466724" y="506083"/>
          <a:ext cx="390525" cy="4083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pt-BR"/>
        </a:p>
      </cdr:txBody>
    </cdr:sp>
  </cdr:relSizeAnchor>
</c:userShapes>
</file>

<file path=xl/drawings/drawing12.xml><?xml version="1.0" encoding="utf-8"?>
<c:userShapes xmlns:c="http://schemas.openxmlformats.org/drawingml/2006/chart">
  <cdr:relSizeAnchor xmlns:cdr="http://schemas.openxmlformats.org/drawingml/2006/chartDrawing">
    <cdr:from>
      <cdr:x>0.05035</cdr:x>
      <cdr:y>0.21511</cdr:y>
    </cdr:from>
    <cdr:to>
      <cdr:x>0.08118</cdr:x>
      <cdr:y>0.31931</cdr:y>
    </cdr:to>
    <cdr:sp macro="" textlink="">
      <cdr:nvSpPr>
        <cdr:cNvPr id="2" name="CaixaDeTexto 1"/>
        <cdr:cNvSpPr txBox="1"/>
      </cdr:nvSpPr>
      <cdr:spPr>
        <a:xfrm xmlns:a="http://schemas.openxmlformats.org/drawingml/2006/main">
          <a:off x="518583" y="677333"/>
          <a:ext cx="317500" cy="3280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pt-BR"/>
        </a:p>
      </cdr:txBody>
    </cdr:sp>
  </cdr:relSizeAnchor>
</c:userShapes>
</file>

<file path=xl/drawings/drawing13.xml><?xml version="1.0" encoding="utf-8"?>
<c:userShapes xmlns:c="http://schemas.openxmlformats.org/drawingml/2006/chart">
  <cdr:relSizeAnchor xmlns:cdr="http://schemas.openxmlformats.org/drawingml/2006/chartDrawing">
    <cdr:from>
      <cdr:x>0.05035</cdr:x>
      <cdr:y>0.21511</cdr:y>
    </cdr:from>
    <cdr:to>
      <cdr:x>0.08118</cdr:x>
      <cdr:y>0.31931</cdr:y>
    </cdr:to>
    <cdr:sp macro="" textlink="">
      <cdr:nvSpPr>
        <cdr:cNvPr id="2" name="CaixaDeTexto 1"/>
        <cdr:cNvSpPr txBox="1"/>
      </cdr:nvSpPr>
      <cdr:spPr>
        <a:xfrm xmlns:a="http://schemas.openxmlformats.org/drawingml/2006/main">
          <a:off x="518583" y="677333"/>
          <a:ext cx="317500" cy="3280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pt-BR"/>
        </a:p>
      </cdr:txBody>
    </cdr:sp>
  </cdr:relSizeAnchor>
</c:userShapes>
</file>

<file path=xl/drawings/drawing14.xml><?xml version="1.0" encoding="utf-8"?>
<c:userShapes xmlns:c="http://schemas.openxmlformats.org/drawingml/2006/chart">
  <cdr:relSizeAnchor xmlns:cdr="http://schemas.openxmlformats.org/drawingml/2006/chartDrawing">
    <cdr:from>
      <cdr:x>0.05035</cdr:x>
      <cdr:y>0.21511</cdr:y>
    </cdr:from>
    <cdr:to>
      <cdr:x>0.08118</cdr:x>
      <cdr:y>0.31931</cdr:y>
    </cdr:to>
    <cdr:sp macro="" textlink="">
      <cdr:nvSpPr>
        <cdr:cNvPr id="2" name="CaixaDeTexto 1"/>
        <cdr:cNvSpPr txBox="1"/>
      </cdr:nvSpPr>
      <cdr:spPr>
        <a:xfrm xmlns:a="http://schemas.openxmlformats.org/drawingml/2006/main">
          <a:off x="518583" y="677333"/>
          <a:ext cx="317500" cy="3280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pt-BR"/>
        </a:p>
      </cdr:txBody>
    </cdr:sp>
  </cdr:relSizeAnchor>
</c:userShapes>
</file>

<file path=xl/drawings/drawing15.xml><?xml version="1.0" encoding="utf-8"?>
<c:userShapes xmlns:c="http://schemas.openxmlformats.org/drawingml/2006/chart">
  <cdr:relSizeAnchor xmlns:cdr="http://schemas.openxmlformats.org/drawingml/2006/chartDrawing">
    <cdr:from>
      <cdr:x>0.05035</cdr:x>
      <cdr:y>0.21511</cdr:y>
    </cdr:from>
    <cdr:to>
      <cdr:x>0.08118</cdr:x>
      <cdr:y>0.31931</cdr:y>
    </cdr:to>
    <cdr:sp macro="" textlink="">
      <cdr:nvSpPr>
        <cdr:cNvPr id="2" name="CaixaDeTexto 1"/>
        <cdr:cNvSpPr txBox="1"/>
      </cdr:nvSpPr>
      <cdr:spPr>
        <a:xfrm xmlns:a="http://schemas.openxmlformats.org/drawingml/2006/main">
          <a:off x="518583" y="677333"/>
          <a:ext cx="317500" cy="3280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pt-BR"/>
        </a:p>
      </cdr:txBody>
    </cdr:sp>
  </cdr:relSizeAnchor>
</c:userShapes>
</file>

<file path=xl/drawings/drawing16.xml><?xml version="1.0" encoding="utf-8"?>
<c:userShapes xmlns:c="http://schemas.openxmlformats.org/drawingml/2006/chart">
  <cdr:relSizeAnchor xmlns:cdr="http://schemas.openxmlformats.org/drawingml/2006/chartDrawing">
    <cdr:from>
      <cdr:x>0.05035</cdr:x>
      <cdr:y>0.21511</cdr:y>
    </cdr:from>
    <cdr:to>
      <cdr:x>0.08118</cdr:x>
      <cdr:y>0.31931</cdr:y>
    </cdr:to>
    <cdr:sp macro="" textlink="">
      <cdr:nvSpPr>
        <cdr:cNvPr id="2" name="CaixaDeTexto 1"/>
        <cdr:cNvSpPr txBox="1"/>
      </cdr:nvSpPr>
      <cdr:spPr>
        <a:xfrm xmlns:a="http://schemas.openxmlformats.org/drawingml/2006/main">
          <a:off x="518583" y="677333"/>
          <a:ext cx="317500" cy="3280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pt-BR"/>
        </a:p>
      </cdr:txBody>
    </cdr:sp>
  </cdr:relSizeAnchor>
</c:userShapes>
</file>

<file path=xl/drawings/drawing17.xml><?xml version="1.0" encoding="utf-8"?>
<c:userShapes xmlns:c="http://schemas.openxmlformats.org/drawingml/2006/chart">
  <cdr:relSizeAnchor xmlns:cdr="http://schemas.openxmlformats.org/drawingml/2006/chartDrawing">
    <cdr:from>
      <cdr:x>0.05035</cdr:x>
      <cdr:y>0.21511</cdr:y>
    </cdr:from>
    <cdr:to>
      <cdr:x>0.08118</cdr:x>
      <cdr:y>0.31931</cdr:y>
    </cdr:to>
    <cdr:sp macro="" textlink="">
      <cdr:nvSpPr>
        <cdr:cNvPr id="2" name="CaixaDeTexto 1"/>
        <cdr:cNvSpPr txBox="1"/>
      </cdr:nvSpPr>
      <cdr:spPr>
        <a:xfrm xmlns:a="http://schemas.openxmlformats.org/drawingml/2006/main">
          <a:off x="518583" y="677333"/>
          <a:ext cx="317500" cy="3280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pt-BR"/>
        </a:p>
      </cdr:txBody>
    </cdr:sp>
  </cdr:relSizeAnchor>
</c:userShapes>
</file>

<file path=xl/drawings/drawing18.xml><?xml version="1.0" encoding="utf-8"?>
<c:userShapes xmlns:c="http://schemas.openxmlformats.org/drawingml/2006/chart">
  <cdr:relSizeAnchor xmlns:cdr="http://schemas.openxmlformats.org/drawingml/2006/chartDrawing">
    <cdr:from>
      <cdr:x>0.05035</cdr:x>
      <cdr:y>0.21511</cdr:y>
    </cdr:from>
    <cdr:to>
      <cdr:x>0.08118</cdr:x>
      <cdr:y>0.31931</cdr:y>
    </cdr:to>
    <cdr:sp macro="" textlink="">
      <cdr:nvSpPr>
        <cdr:cNvPr id="2" name="CaixaDeTexto 1"/>
        <cdr:cNvSpPr txBox="1"/>
      </cdr:nvSpPr>
      <cdr:spPr>
        <a:xfrm xmlns:a="http://schemas.openxmlformats.org/drawingml/2006/main">
          <a:off x="518583" y="677333"/>
          <a:ext cx="317500" cy="3280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pt-BR"/>
        </a:p>
      </cdr:txBody>
    </cdr:sp>
  </cdr:relSizeAnchor>
</c:userShapes>
</file>

<file path=xl/drawings/drawing19.xml><?xml version="1.0" encoding="utf-8"?>
<xdr:wsDr xmlns:xdr="http://schemas.openxmlformats.org/drawingml/2006/spreadsheetDrawing" xmlns:a="http://schemas.openxmlformats.org/drawingml/2006/main">
  <xdr:twoCellAnchor>
    <xdr:from>
      <xdr:col>2</xdr:col>
      <xdr:colOff>16934</xdr:colOff>
      <xdr:row>0</xdr:row>
      <xdr:rowOff>50094</xdr:rowOff>
    </xdr:from>
    <xdr:to>
      <xdr:col>6</xdr:col>
      <xdr:colOff>148166</xdr:colOff>
      <xdr:row>3</xdr:row>
      <xdr:rowOff>41627</xdr:rowOff>
    </xdr:to>
    <xdr:pic>
      <xdr:nvPicPr>
        <xdr:cNvPr id="2" name="Picture 5">
          <a:extLst>
            <a:ext uri="{FF2B5EF4-FFF2-40B4-BE49-F238E27FC236}">
              <a16:creationId xmlns:a16="http://schemas.microsoft.com/office/drawing/2014/main" id="{716BB4BD-F90B-4750-9209-61D2CF0CE4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1284" y="50094"/>
          <a:ext cx="1283757" cy="6963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30</xdr:col>
      <xdr:colOff>112888</xdr:colOff>
      <xdr:row>0</xdr:row>
      <xdr:rowOff>84668</xdr:rowOff>
    </xdr:from>
    <xdr:ext cx="564809" cy="799041"/>
    <xdr:pic>
      <xdr:nvPicPr>
        <xdr:cNvPr id="3" name="Imagem 2">
          <a:extLst>
            <a:ext uri="{FF2B5EF4-FFF2-40B4-BE49-F238E27FC236}">
              <a16:creationId xmlns:a16="http://schemas.microsoft.com/office/drawing/2014/main" id="{C653A812-A203-4D8C-8FC9-550C81AD0D1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23463" y="84668"/>
          <a:ext cx="564809" cy="532341"/>
        </a:xfrm>
        <a:prstGeom prst="rect">
          <a:avLst/>
        </a:prstGeom>
      </xdr:spPr>
    </xdr:pic>
    <xdr:clientData/>
  </xdr:oneCellAnchor>
  <xdr:twoCellAnchor>
    <xdr:from>
      <xdr:col>2</xdr:col>
      <xdr:colOff>706</xdr:colOff>
      <xdr:row>77</xdr:row>
      <xdr:rowOff>183091</xdr:rowOff>
    </xdr:from>
    <xdr:to>
      <xdr:col>7</xdr:col>
      <xdr:colOff>67380</xdr:colOff>
      <xdr:row>81</xdr:row>
      <xdr:rowOff>83960</xdr:rowOff>
    </xdr:to>
    <xdr:pic>
      <xdr:nvPicPr>
        <xdr:cNvPr id="4" name="Picture 5">
          <a:extLst>
            <a:ext uri="{FF2B5EF4-FFF2-40B4-BE49-F238E27FC236}">
              <a16:creationId xmlns:a16="http://schemas.microsoft.com/office/drawing/2014/main" id="{2206007C-2191-4C92-8D75-4ECB470591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5056" y="9850966"/>
          <a:ext cx="1504949" cy="796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30</xdr:col>
      <xdr:colOff>77611</xdr:colOff>
      <xdr:row>78</xdr:row>
      <xdr:rowOff>27518</xdr:rowOff>
    </xdr:from>
    <xdr:ext cx="576451" cy="539750"/>
    <xdr:pic>
      <xdr:nvPicPr>
        <xdr:cNvPr id="5" name="Imagem 4">
          <a:extLst>
            <a:ext uri="{FF2B5EF4-FFF2-40B4-BE49-F238E27FC236}">
              <a16:creationId xmlns:a16="http://schemas.microsoft.com/office/drawing/2014/main" id="{3D69506B-1DE1-45CC-AF2B-E63A060CF3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88186" y="9885893"/>
          <a:ext cx="576451" cy="539750"/>
        </a:xfrm>
        <a:prstGeom prst="rect">
          <a:avLst/>
        </a:prstGeom>
      </xdr:spPr>
    </xdr:pic>
    <xdr:clientData/>
  </xdr:oneCellAnchor>
  <xdr:oneCellAnchor>
    <xdr:from>
      <xdr:col>30</xdr:col>
      <xdr:colOff>112888</xdr:colOff>
      <xdr:row>0</xdr:row>
      <xdr:rowOff>0</xdr:rowOff>
    </xdr:from>
    <xdr:ext cx="580684" cy="535517"/>
    <xdr:pic>
      <xdr:nvPicPr>
        <xdr:cNvPr id="6" name="Imagem 5">
          <a:extLst>
            <a:ext uri="{FF2B5EF4-FFF2-40B4-BE49-F238E27FC236}">
              <a16:creationId xmlns:a16="http://schemas.microsoft.com/office/drawing/2014/main" id="{E267698C-CC66-42D9-A28E-5410BD6A168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23463" y="0"/>
          <a:ext cx="580684" cy="535517"/>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xdr:from>
      <xdr:col>0</xdr:col>
      <xdr:colOff>200025</xdr:colOff>
      <xdr:row>24</xdr:row>
      <xdr:rowOff>9525</xdr:rowOff>
    </xdr:from>
    <xdr:to>
      <xdr:col>17</xdr:col>
      <xdr:colOff>0</xdr:colOff>
      <xdr:row>53</xdr:row>
      <xdr:rowOff>190500</xdr:rowOff>
    </xdr:to>
    <xdr:graphicFrame macro="">
      <xdr:nvGraphicFramePr>
        <xdr:cNvPr id="5402769" name="Gráfico 2">
          <a:extLst>
            <a:ext uri="{FF2B5EF4-FFF2-40B4-BE49-F238E27FC236}">
              <a16:creationId xmlns:a16="http://schemas.microsoft.com/office/drawing/2014/main" id="{4D61CE14-5FAF-481A-9BB1-D5DC6D086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0</xdr:colOff>
      <xdr:row>24</xdr:row>
      <xdr:rowOff>0</xdr:rowOff>
    </xdr:from>
    <xdr:to>
      <xdr:col>34</xdr:col>
      <xdr:colOff>95250</xdr:colOff>
      <xdr:row>53</xdr:row>
      <xdr:rowOff>180975</xdr:rowOff>
    </xdr:to>
    <xdr:graphicFrame macro="">
      <xdr:nvGraphicFramePr>
        <xdr:cNvPr id="5402770" name="Gráfico 2">
          <a:extLst>
            <a:ext uri="{FF2B5EF4-FFF2-40B4-BE49-F238E27FC236}">
              <a16:creationId xmlns:a16="http://schemas.microsoft.com/office/drawing/2014/main" id="{9D625C5C-E9E6-450D-997D-D55CD1DACC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303068</xdr:colOff>
      <xdr:row>55</xdr:row>
      <xdr:rowOff>25978</xdr:rowOff>
    </xdr:from>
    <xdr:to>
      <xdr:col>34</xdr:col>
      <xdr:colOff>77932</xdr:colOff>
      <xdr:row>84</xdr:row>
      <xdr:rowOff>121228</xdr:rowOff>
    </xdr:to>
    <xdr:graphicFrame macro="">
      <xdr:nvGraphicFramePr>
        <xdr:cNvPr id="5402771" name="Gráfico 3">
          <a:extLst>
            <a:ext uri="{FF2B5EF4-FFF2-40B4-BE49-F238E27FC236}">
              <a16:creationId xmlns:a16="http://schemas.microsoft.com/office/drawing/2014/main" id="{D4D6BA3A-6968-4BDA-8212-F1DA31348C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86</xdr:row>
      <xdr:rowOff>0</xdr:rowOff>
    </xdr:from>
    <xdr:to>
      <xdr:col>34</xdr:col>
      <xdr:colOff>95250</xdr:colOff>
      <xdr:row>115</xdr:row>
      <xdr:rowOff>180975</xdr:rowOff>
    </xdr:to>
    <xdr:graphicFrame macro="">
      <xdr:nvGraphicFramePr>
        <xdr:cNvPr id="5402772" name="Gráfico 4">
          <a:extLst>
            <a:ext uri="{FF2B5EF4-FFF2-40B4-BE49-F238E27FC236}">
              <a16:creationId xmlns:a16="http://schemas.microsoft.com/office/drawing/2014/main" id="{D07D9122-B897-4A3C-80ED-98908C926A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866</xdr:colOff>
      <xdr:row>45</xdr:row>
      <xdr:rowOff>77932</xdr:rowOff>
    </xdr:from>
    <xdr:to>
      <xdr:col>17</xdr:col>
      <xdr:colOff>866</xdr:colOff>
      <xdr:row>76</xdr:row>
      <xdr:rowOff>11257</xdr:rowOff>
    </xdr:to>
    <xdr:graphicFrame macro="">
      <xdr:nvGraphicFramePr>
        <xdr:cNvPr id="3271022" name="Gráfico 2">
          <a:extLst>
            <a:ext uri="{FF2B5EF4-FFF2-40B4-BE49-F238E27FC236}">
              <a16:creationId xmlns:a16="http://schemas.microsoft.com/office/drawing/2014/main" id="{95034FE9-0DB9-4750-87E0-8F0B4225A4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0</xdr:colOff>
      <xdr:row>31</xdr:row>
      <xdr:rowOff>25978</xdr:rowOff>
    </xdr:from>
    <xdr:to>
      <xdr:col>34</xdr:col>
      <xdr:colOff>95250</xdr:colOff>
      <xdr:row>61</xdr:row>
      <xdr:rowOff>16453</xdr:rowOff>
    </xdr:to>
    <xdr:graphicFrame macro="">
      <xdr:nvGraphicFramePr>
        <xdr:cNvPr id="3271023" name="Gráfico 2">
          <a:extLst>
            <a:ext uri="{FF2B5EF4-FFF2-40B4-BE49-F238E27FC236}">
              <a16:creationId xmlns:a16="http://schemas.microsoft.com/office/drawing/2014/main" id="{1A9B8347-E5E0-416F-9D9C-E7721724D9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62</xdr:row>
      <xdr:rowOff>0</xdr:rowOff>
    </xdr:from>
    <xdr:to>
      <xdr:col>34</xdr:col>
      <xdr:colOff>95250</xdr:colOff>
      <xdr:row>92</xdr:row>
      <xdr:rowOff>95250</xdr:rowOff>
    </xdr:to>
    <xdr:graphicFrame macro="">
      <xdr:nvGraphicFramePr>
        <xdr:cNvPr id="3271024" name="Gráfico 3">
          <a:extLst>
            <a:ext uri="{FF2B5EF4-FFF2-40B4-BE49-F238E27FC236}">
              <a16:creationId xmlns:a16="http://schemas.microsoft.com/office/drawing/2014/main" id="{F7AC42A4-C936-47B2-9DE4-FE7C4CF031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94</xdr:row>
      <xdr:rowOff>0</xdr:rowOff>
    </xdr:from>
    <xdr:to>
      <xdr:col>34</xdr:col>
      <xdr:colOff>95250</xdr:colOff>
      <xdr:row>123</xdr:row>
      <xdr:rowOff>180975</xdr:rowOff>
    </xdr:to>
    <xdr:graphicFrame macro="">
      <xdr:nvGraphicFramePr>
        <xdr:cNvPr id="3271025" name="Gráfico 4">
          <a:extLst>
            <a:ext uri="{FF2B5EF4-FFF2-40B4-BE49-F238E27FC236}">
              <a16:creationId xmlns:a16="http://schemas.microsoft.com/office/drawing/2014/main" id="{2CF05104-D71E-44D4-806B-BCD654D2AC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76</xdr:row>
      <xdr:rowOff>104775</xdr:rowOff>
    </xdr:from>
    <xdr:to>
      <xdr:col>17</xdr:col>
      <xdr:colOff>0</xdr:colOff>
      <xdr:row>106</xdr:row>
      <xdr:rowOff>180975</xdr:rowOff>
    </xdr:to>
    <xdr:graphicFrame macro="">
      <xdr:nvGraphicFramePr>
        <xdr:cNvPr id="3271026" name="Gráfico 5">
          <a:extLst>
            <a:ext uri="{FF2B5EF4-FFF2-40B4-BE49-F238E27FC236}">
              <a16:creationId xmlns:a16="http://schemas.microsoft.com/office/drawing/2014/main" id="{76CE7B7E-D764-421E-8A9F-318513C550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865</xdr:colOff>
      <xdr:row>107</xdr:row>
      <xdr:rowOff>104775</xdr:rowOff>
    </xdr:from>
    <xdr:to>
      <xdr:col>17</xdr:col>
      <xdr:colOff>865</xdr:colOff>
      <xdr:row>137</xdr:row>
      <xdr:rowOff>180975</xdr:rowOff>
    </xdr:to>
    <xdr:graphicFrame macro="">
      <xdr:nvGraphicFramePr>
        <xdr:cNvPr id="3271027" name="Gráfico 5">
          <a:extLst>
            <a:ext uri="{FF2B5EF4-FFF2-40B4-BE49-F238E27FC236}">
              <a16:creationId xmlns:a16="http://schemas.microsoft.com/office/drawing/2014/main" id="{901BB32B-5EEC-409A-9107-E3CCAD8D3F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8659</xdr:colOff>
      <xdr:row>138</xdr:row>
      <xdr:rowOff>103909</xdr:rowOff>
    </xdr:from>
    <xdr:to>
      <xdr:col>17</xdr:col>
      <xdr:colOff>8659</xdr:colOff>
      <xdr:row>168</xdr:row>
      <xdr:rowOff>180109</xdr:rowOff>
    </xdr:to>
    <xdr:graphicFrame macro="">
      <xdr:nvGraphicFramePr>
        <xdr:cNvPr id="3271028" name="Gráfico 5">
          <a:extLst>
            <a:ext uri="{FF2B5EF4-FFF2-40B4-BE49-F238E27FC236}">
              <a16:creationId xmlns:a16="http://schemas.microsoft.com/office/drawing/2014/main" id="{22B07AB8-E052-46B7-9175-4B74ADFC8D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0.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1.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B4505"/>
  <sheetViews>
    <sheetView topLeftCell="A298" zoomScale="90" zoomScaleNormal="90" zoomScaleSheetLayoutView="100" workbookViewId="0">
      <selection activeCell="B62" sqref="B62"/>
    </sheetView>
  </sheetViews>
  <sheetFormatPr defaultRowHeight="15"/>
  <cols>
    <col min="1" max="8" width="11.28515625" customWidth="1"/>
    <col min="9" max="9" width="12.5703125" customWidth="1"/>
    <col min="10" max="11" width="11.28515625" customWidth="1"/>
    <col min="12" max="12" width="12.140625" customWidth="1"/>
    <col min="13" max="13" width="11.85546875" customWidth="1"/>
    <col min="14" max="19" width="11.28515625" customWidth="1"/>
    <col min="20" max="20" width="5.7109375" customWidth="1"/>
    <col min="21" max="21" width="9.28515625" customWidth="1"/>
    <col min="22" max="22" width="10.42578125" customWidth="1"/>
    <col min="23" max="24" width="9.28515625" customWidth="1"/>
    <col min="25" max="25" width="9.42578125" customWidth="1"/>
    <col min="26" max="26" width="9.28515625" customWidth="1"/>
    <col min="27" max="27" width="18.140625" customWidth="1"/>
    <col min="28" max="28" width="18" customWidth="1"/>
    <col min="29" max="29" width="18.140625" customWidth="1"/>
    <col min="30" max="30" width="12.42578125" customWidth="1"/>
    <col min="31" max="44" width="9.28515625" customWidth="1"/>
    <col min="45" max="45" width="9" customWidth="1"/>
  </cols>
  <sheetData>
    <row r="2" spans="4:36">
      <c r="D2" s="769" t="s">
        <v>0</v>
      </c>
      <c r="E2" s="770"/>
      <c r="F2" s="770"/>
      <c r="G2" s="770"/>
      <c r="H2" s="771"/>
      <c r="I2" s="762" t="s">
        <v>1</v>
      </c>
      <c r="J2" s="762"/>
      <c r="K2" s="762"/>
      <c r="L2" s="763"/>
      <c r="O2" s="73"/>
    </row>
    <row r="3" spans="4:36" ht="15" customHeight="1">
      <c r="D3" s="772"/>
      <c r="E3" s="773"/>
      <c r="F3" s="773"/>
      <c r="G3" s="773"/>
      <c r="H3" s="774"/>
      <c r="I3" s="775" t="s">
        <v>231</v>
      </c>
      <c r="J3" s="775"/>
      <c r="K3" s="775"/>
      <c r="L3" s="776"/>
      <c r="AA3" s="49" t="s">
        <v>73</v>
      </c>
      <c r="AB3" s="49"/>
      <c r="AC3" s="49"/>
      <c r="AF3" s="53" t="s">
        <v>75</v>
      </c>
      <c r="AI3" s="54" t="s">
        <v>76</v>
      </c>
      <c r="AJ3" t="s">
        <v>83</v>
      </c>
    </row>
    <row r="4" spans="4:36">
      <c r="D4" s="761" t="s">
        <v>2</v>
      </c>
      <c r="E4" s="762"/>
      <c r="F4" s="763"/>
      <c r="G4" s="752" t="s">
        <v>3</v>
      </c>
      <c r="H4" s="753"/>
      <c r="I4" s="416">
        <v>44410</v>
      </c>
      <c r="J4" s="762" t="s">
        <v>4</v>
      </c>
      <c r="K4" s="762"/>
      <c r="L4" s="763"/>
      <c r="R4" s="1"/>
      <c r="S4" s="1"/>
      <c r="AA4" s="49" t="s">
        <v>74</v>
      </c>
      <c r="AB4" s="49" t="s">
        <v>60</v>
      </c>
      <c r="AC4" s="49" t="s">
        <v>59</v>
      </c>
    </row>
    <row r="5" spans="4:36">
      <c r="D5" s="415" t="s">
        <v>229</v>
      </c>
      <c r="E5" s="777" t="s">
        <v>335</v>
      </c>
      <c r="F5" s="778"/>
      <c r="G5" s="752" t="s">
        <v>232</v>
      </c>
      <c r="H5" s="753"/>
      <c r="I5" s="416">
        <v>44434</v>
      </c>
      <c r="J5" s="766"/>
      <c r="K5" s="767"/>
      <c r="L5" s="768"/>
      <c r="AA5" s="50">
        <v>680</v>
      </c>
      <c r="AB5" s="51">
        <v>90.355000000000004</v>
      </c>
      <c r="AC5" s="52">
        <f t="shared" ref="AC5:AC9" si="0">-LOG(AB5/100)</f>
        <v>4.4047809762410475E-2</v>
      </c>
      <c r="AE5" s="74"/>
      <c r="AF5" s="75" t="s">
        <v>77</v>
      </c>
      <c r="AG5" s="76"/>
    </row>
    <row r="6" spans="4:36">
      <c r="D6" s="761" t="s">
        <v>5</v>
      </c>
      <c r="E6" s="762"/>
      <c r="F6" s="762"/>
      <c r="G6" s="762"/>
      <c r="H6" s="762"/>
      <c r="I6" s="762"/>
      <c r="J6" s="762"/>
      <c r="K6" s="762"/>
      <c r="L6" s="763"/>
      <c r="AA6" s="50">
        <v>679.9</v>
      </c>
      <c r="AB6" s="51">
        <v>90.343999999999994</v>
      </c>
      <c r="AC6" s="52">
        <f t="shared" si="0"/>
        <v>4.4100684867495105E-2</v>
      </c>
      <c r="AE6" s="77"/>
      <c r="AF6" s="78" t="s">
        <v>78</v>
      </c>
      <c r="AG6" s="79"/>
    </row>
    <row r="7" spans="4:36" ht="15.75">
      <c r="D7" s="749" t="s">
        <v>470</v>
      </c>
      <c r="E7" s="750"/>
      <c r="F7" s="750"/>
      <c r="G7" s="750"/>
      <c r="H7" s="750"/>
      <c r="I7" s="750"/>
      <c r="J7" s="750"/>
      <c r="K7" s="750"/>
      <c r="L7" s="751"/>
      <c r="AA7" s="50">
        <v>679.8</v>
      </c>
      <c r="AB7" s="51">
        <v>90.417000000000002</v>
      </c>
      <c r="AC7" s="52">
        <f t="shared" si="0"/>
        <v>4.3749906780380231E-2</v>
      </c>
      <c r="AE7" s="77"/>
      <c r="AF7" s="80" t="s">
        <v>79</v>
      </c>
      <c r="AG7" s="81"/>
    </row>
    <row r="8" spans="4:36" ht="15.75">
      <c r="D8" s="419" t="s">
        <v>6</v>
      </c>
      <c r="E8" s="754" t="s">
        <v>471</v>
      </c>
      <c r="F8" s="754"/>
      <c r="G8" s="754"/>
      <c r="H8" s="754"/>
      <c r="I8" s="754"/>
      <c r="J8" s="754"/>
      <c r="K8" s="754"/>
      <c r="L8" s="755"/>
      <c r="AA8" s="50">
        <v>679.7</v>
      </c>
      <c r="AB8" s="51">
        <v>90.328000000000003</v>
      </c>
      <c r="AC8" s="52">
        <f t="shared" si="0"/>
        <v>4.4177605604838022E-2</v>
      </c>
      <c r="AE8" s="55"/>
      <c r="AF8" s="53" t="s">
        <v>80</v>
      </c>
      <c r="AG8" s="13"/>
    </row>
    <row r="9" spans="4:36" ht="15.75" customHeight="1">
      <c r="D9" s="419" t="s">
        <v>234</v>
      </c>
      <c r="E9" s="756" t="s">
        <v>444</v>
      </c>
      <c r="F9" s="756"/>
      <c r="G9" s="756"/>
      <c r="H9" s="756"/>
      <c r="I9" s="756"/>
      <c r="J9" s="756"/>
      <c r="K9" s="720" t="s">
        <v>200</v>
      </c>
      <c r="L9" s="417" t="s">
        <v>445</v>
      </c>
      <c r="N9" t="s">
        <v>235</v>
      </c>
      <c r="T9" s="71"/>
      <c r="U9" s="71"/>
      <c r="V9" s="71"/>
      <c r="W9" s="71"/>
      <c r="X9" s="71"/>
      <c r="Y9" s="71"/>
      <c r="Z9" s="71"/>
      <c r="AA9" s="50">
        <v>679.6</v>
      </c>
      <c r="AB9" s="51">
        <v>90.322999999999993</v>
      </c>
      <c r="AC9" s="52">
        <f t="shared" si="0"/>
        <v>4.4201646129496897E-2</v>
      </c>
      <c r="AE9" s="56">
        <v>11</v>
      </c>
      <c r="AF9" s="53">
        <v>637.5</v>
      </c>
      <c r="AG9" s="13"/>
    </row>
    <row r="10" spans="4:36" ht="15.75" customHeight="1">
      <c r="D10" s="761" t="s">
        <v>230</v>
      </c>
      <c r="E10" s="762"/>
      <c r="F10" s="762"/>
      <c r="G10" s="762"/>
      <c r="H10" s="762"/>
      <c r="I10" s="762"/>
      <c r="J10" s="762"/>
      <c r="K10" s="762"/>
      <c r="L10" s="763"/>
      <c r="T10" s="71"/>
      <c r="U10" s="71"/>
      <c r="V10" s="71"/>
      <c r="W10" s="71"/>
      <c r="X10" s="71"/>
      <c r="Y10" s="71"/>
      <c r="Z10" s="71"/>
      <c r="AA10" s="50">
        <v>679.5</v>
      </c>
      <c r="AB10" s="51">
        <v>90.281999999999996</v>
      </c>
      <c r="AC10" s="52">
        <f t="shared" ref="AC10:AC73" si="1">-LOG(AB10/100)</f>
        <v>4.4398828644531554E-2</v>
      </c>
      <c r="AE10" s="56">
        <v>10</v>
      </c>
      <c r="AF10" s="53">
        <v>536.4</v>
      </c>
      <c r="AG10" s="13"/>
    </row>
    <row r="11" spans="4:36" ht="15.75" customHeight="1">
      <c r="D11" s="749"/>
      <c r="E11" s="750"/>
      <c r="F11" s="750"/>
      <c r="G11" s="750"/>
      <c r="H11" s="750"/>
      <c r="I11" s="750"/>
      <c r="J11" s="750"/>
      <c r="K11" s="750"/>
      <c r="L11" s="751"/>
      <c r="T11" s="71"/>
      <c r="U11" s="71"/>
      <c r="V11" s="71"/>
      <c r="W11" s="71"/>
      <c r="X11" s="71"/>
      <c r="Y11" s="71"/>
      <c r="Z11" s="71"/>
      <c r="AA11" s="50">
        <v>679.4</v>
      </c>
      <c r="AB11" s="51">
        <v>90.334000000000003</v>
      </c>
      <c r="AC11" s="52">
        <f t="shared" si="1"/>
        <v>4.4148758731755965E-2</v>
      </c>
      <c r="AE11" s="56">
        <v>9</v>
      </c>
      <c r="AF11" s="53">
        <v>459.9</v>
      </c>
      <c r="AG11" s="13"/>
    </row>
    <row r="12" spans="4:36" ht="15.75" customHeight="1">
      <c r="D12" s="419" t="s">
        <v>6</v>
      </c>
      <c r="E12" s="757"/>
      <c r="F12" s="757"/>
      <c r="G12" s="757"/>
      <c r="H12" s="757"/>
      <c r="I12" s="757"/>
      <c r="J12" s="757"/>
      <c r="K12" s="757"/>
      <c r="L12" s="758"/>
      <c r="T12" s="71"/>
      <c r="U12" s="71"/>
      <c r="V12" s="71"/>
      <c r="W12" s="71"/>
      <c r="X12" s="71"/>
      <c r="Y12" s="71"/>
      <c r="Z12" s="71"/>
      <c r="AA12" s="50">
        <v>679.3</v>
      </c>
      <c r="AB12" s="51">
        <v>90.346999999999994</v>
      </c>
      <c r="AC12" s="52">
        <f t="shared" si="1"/>
        <v>4.4086263745847287E-2</v>
      </c>
      <c r="AE12" s="56">
        <v>8</v>
      </c>
      <c r="AF12" s="53">
        <v>453.4</v>
      </c>
      <c r="AG12" s="13"/>
    </row>
    <row r="13" spans="4:36" ht="15.75" customHeight="1">
      <c r="D13" s="420" t="s">
        <v>234</v>
      </c>
      <c r="E13" s="756"/>
      <c r="F13" s="756"/>
      <c r="G13" s="756"/>
      <c r="H13" s="756"/>
      <c r="I13" s="756"/>
      <c r="J13" s="756"/>
      <c r="K13" s="720" t="s">
        <v>200</v>
      </c>
      <c r="L13" s="417"/>
      <c r="T13" s="71"/>
      <c r="U13" s="71"/>
      <c r="V13" s="71"/>
      <c r="W13" s="71"/>
      <c r="X13" s="71"/>
      <c r="Y13" s="71"/>
      <c r="Z13" s="71"/>
      <c r="AA13" s="50">
        <v>679.2</v>
      </c>
      <c r="AB13" s="51">
        <v>90.344999999999999</v>
      </c>
      <c r="AC13" s="52">
        <f t="shared" si="1"/>
        <v>4.4095877773738315E-2</v>
      </c>
      <c r="AE13" s="56">
        <v>7</v>
      </c>
      <c r="AF13" s="53">
        <v>418.5</v>
      </c>
      <c r="AG13" s="13"/>
    </row>
    <row r="14" spans="4:36">
      <c r="D14" t="s">
        <v>220</v>
      </c>
      <c r="AA14" s="50">
        <v>679.1</v>
      </c>
      <c r="AB14" s="51">
        <v>90.34</v>
      </c>
      <c r="AC14" s="52">
        <f t="shared" si="1"/>
        <v>4.4119913774624611E-2</v>
      </c>
      <c r="AE14" s="56">
        <v>6</v>
      </c>
      <c r="AF14" s="53">
        <v>385.8</v>
      </c>
      <c r="AG14" s="13"/>
    </row>
    <row r="15" spans="4:36">
      <c r="AA15" s="50">
        <v>679</v>
      </c>
      <c r="AB15" s="51">
        <v>90.302999999999997</v>
      </c>
      <c r="AC15" s="52">
        <f t="shared" si="1"/>
        <v>4.4297821538060021E-2</v>
      </c>
      <c r="AE15" s="56">
        <v>5</v>
      </c>
      <c r="AF15" s="53">
        <v>360.8</v>
      </c>
      <c r="AG15" s="13"/>
    </row>
    <row r="16" spans="4:36" ht="18.75">
      <c r="D16" s="779" t="s">
        <v>67</v>
      </c>
      <c r="E16" s="780"/>
      <c r="F16" s="780"/>
      <c r="G16" s="780"/>
      <c r="H16" s="780"/>
      <c r="I16" s="780"/>
      <c r="J16" s="780"/>
      <c r="K16" s="780"/>
      <c r="L16" s="781"/>
      <c r="AA16" s="50">
        <v>678.9</v>
      </c>
      <c r="AB16" s="51">
        <v>90.33</v>
      </c>
      <c r="AC16" s="52">
        <f t="shared" si="1"/>
        <v>4.4167989767578249E-2</v>
      </c>
      <c r="AE16" s="56">
        <v>4</v>
      </c>
      <c r="AF16" s="53">
        <v>333.8</v>
      </c>
      <c r="AG16" s="13"/>
    </row>
    <row r="17" spans="4:33">
      <c r="D17" s="761" t="s">
        <v>8</v>
      </c>
      <c r="E17" s="762"/>
      <c r="F17" s="762"/>
      <c r="G17" s="762"/>
      <c r="H17" s="762"/>
      <c r="I17" s="763"/>
      <c r="J17" s="110" t="s">
        <v>36</v>
      </c>
      <c r="K17" s="111"/>
      <c r="L17" s="112"/>
      <c r="AA17" s="50">
        <v>678.8</v>
      </c>
      <c r="AB17" s="51">
        <v>90.301000000000002</v>
      </c>
      <c r="AC17" s="52">
        <f t="shared" si="1"/>
        <v>4.4307440250423456E-2</v>
      </c>
      <c r="AE17" s="56">
        <v>3</v>
      </c>
      <c r="AF17" s="53">
        <v>287.60000000000002</v>
      </c>
      <c r="AG17" s="13"/>
    </row>
    <row r="18" spans="4:33">
      <c r="D18" s="782" t="s">
        <v>44</v>
      </c>
      <c r="E18" s="767"/>
      <c r="F18" s="767"/>
      <c r="G18" s="767"/>
      <c r="H18" s="767"/>
      <c r="I18" s="768"/>
      <c r="J18" s="783">
        <v>12</v>
      </c>
      <c r="K18" s="784"/>
      <c r="L18" s="785"/>
      <c r="AA18" s="50">
        <v>678.7</v>
      </c>
      <c r="AB18" s="51">
        <v>90.305000000000007</v>
      </c>
      <c r="AC18" s="52">
        <f t="shared" si="1"/>
        <v>4.428820303872618E-2</v>
      </c>
      <c r="AE18" s="56">
        <v>2</v>
      </c>
      <c r="AF18" s="53">
        <v>279.3</v>
      </c>
      <c r="AG18" s="13"/>
    </row>
    <row r="19" spans="4:33">
      <c r="D19" s="761" t="s">
        <v>9</v>
      </c>
      <c r="E19" s="763"/>
      <c r="F19" s="762" t="s">
        <v>10</v>
      </c>
      <c r="G19" s="762"/>
      <c r="H19" s="761" t="s">
        <v>236</v>
      </c>
      <c r="I19" s="763"/>
      <c r="J19" s="418" t="s">
        <v>11</v>
      </c>
      <c r="K19" s="764"/>
      <c r="L19" s="765"/>
      <c r="N19" t="s">
        <v>354</v>
      </c>
      <c r="O19" t="s">
        <v>355</v>
      </c>
      <c r="AA19" s="50">
        <v>678.6</v>
      </c>
      <c r="AB19" s="51">
        <v>90.263000000000005</v>
      </c>
      <c r="AC19" s="52">
        <f t="shared" si="1"/>
        <v>4.4490236273506269E-2</v>
      </c>
      <c r="AE19" s="57">
        <v>1</v>
      </c>
      <c r="AF19" s="58">
        <v>241.5</v>
      </c>
      <c r="AG19" s="15"/>
    </row>
    <row r="20" spans="4:33">
      <c r="D20" s="782" t="s">
        <v>472</v>
      </c>
      <c r="E20" s="768"/>
      <c r="F20" s="788" t="s">
        <v>473</v>
      </c>
      <c r="G20" s="789"/>
      <c r="H20" s="782"/>
      <c r="I20" s="768"/>
      <c r="J20" s="418" t="s">
        <v>237</v>
      </c>
      <c r="K20" s="764"/>
      <c r="L20" s="765"/>
      <c r="AA20" s="50">
        <v>678.5</v>
      </c>
      <c r="AB20" s="51">
        <v>90.346000000000004</v>
      </c>
      <c r="AC20" s="52">
        <f t="shared" si="1"/>
        <v>4.4091070733189415E-2</v>
      </c>
    </row>
    <row r="21" spans="4:33">
      <c r="D21" s="790" t="s">
        <v>12</v>
      </c>
      <c r="E21" s="786"/>
      <c r="F21" s="790" t="s">
        <v>13</v>
      </c>
      <c r="G21" s="786"/>
      <c r="H21" s="787"/>
      <c r="I21" s="421" t="s">
        <v>210</v>
      </c>
      <c r="J21" s="764" t="s">
        <v>356</v>
      </c>
      <c r="K21" s="764"/>
      <c r="L21" s="765"/>
      <c r="AA21" s="50">
        <v>678.4</v>
      </c>
      <c r="AB21" s="51">
        <v>90.353999999999999</v>
      </c>
      <c r="AC21" s="52">
        <f t="shared" si="1"/>
        <v>4.4052616324141328E-2</v>
      </c>
    </row>
    <row r="22" spans="4:33">
      <c r="D22" s="782" t="s">
        <v>48</v>
      </c>
      <c r="E22" s="767"/>
      <c r="F22" s="782" t="s">
        <v>179</v>
      </c>
      <c r="G22" s="791"/>
      <c r="H22" s="792"/>
      <c r="I22" s="446" t="s">
        <v>211</v>
      </c>
      <c r="J22" s="784"/>
      <c r="K22" s="784"/>
      <c r="L22" s="785"/>
      <c r="AA22" s="50">
        <v>678.3</v>
      </c>
      <c r="AB22" s="51">
        <v>90.29</v>
      </c>
      <c r="AC22" s="52">
        <f t="shared" si="1"/>
        <v>4.4360346976748039E-2</v>
      </c>
    </row>
    <row r="23" spans="4:33">
      <c r="D23" s="790" t="s">
        <v>263</v>
      </c>
      <c r="E23" s="787"/>
      <c r="F23" s="786" t="s">
        <v>264</v>
      </c>
      <c r="G23" s="786"/>
      <c r="H23" s="790" t="s">
        <v>17</v>
      </c>
      <c r="I23" s="787"/>
      <c r="J23" s="786" t="s">
        <v>18</v>
      </c>
      <c r="K23" s="786"/>
      <c r="L23" s="787"/>
      <c r="AA23" s="50">
        <v>678.2</v>
      </c>
      <c r="AB23" s="51">
        <v>90.266999999999996</v>
      </c>
      <c r="AC23" s="52">
        <f t="shared" si="1"/>
        <v>4.4470990963276454E-2</v>
      </c>
    </row>
    <row r="24" spans="4:33">
      <c r="D24" s="783">
        <v>325</v>
      </c>
      <c r="E24" s="785"/>
      <c r="F24" s="783">
        <v>1000</v>
      </c>
      <c r="G24" s="785"/>
      <c r="H24" s="782" t="s">
        <v>47</v>
      </c>
      <c r="I24" s="768"/>
      <c r="J24" s="797" t="s">
        <v>474</v>
      </c>
      <c r="K24" s="797"/>
      <c r="L24" s="798"/>
      <c r="P24" s="72"/>
      <c r="Q24" s="72"/>
      <c r="R24" s="72"/>
      <c r="S24" s="72"/>
      <c r="T24" s="72"/>
      <c r="U24" s="72"/>
      <c r="V24" s="72"/>
      <c r="W24" s="72"/>
      <c r="X24" s="72"/>
      <c r="Y24" s="72"/>
      <c r="Z24" s="72"/>
      <c r="AA24" s="50">
        <v>678.1</v>
      </c>
      <c r="AB24" s="51">
        <v>90.302999999999997</v>
      </c>
      <c r="AC24" s="52">
        <f t="shared" si="1"/>
        <v>4.4297821538060021E-2</v>
      </c>
    </row>
    <row r="25" spans="4:33">
      <c r="AA25" s="50">
        <v>678</v>
      </c>
      <c r="AB25" s="51">
        <v>90.340999999999994</v>
      </c>
      <c r="AC25" s="52">
        <f t="shared" si="1"/>
        <v>4.4115106468024516E-2</v>
      </c>
    </row>
    <row r="26" spans="4:33">
      <c r="T26" s="53"/>
      <c r="AA26" s="50">
        <v>677.9</v>
      </c>
      <c r="AB26" s="51">
        <v>90.337999999999994</v>
      </c>
      <c r="AC26" s="52">
        <f t="shared" si="1"/>
        <v>4.4129528547467378E-2</v>
      </c>
    </row>
    <row r="27" spans="4:33" ht="18.75">
      <c r="D27" s="779" t="s">
        <v>19</v>
      </c>
      <c r="E27" s="780"/>
      <c r="F27" s="780"/>
      <c r="G27" s="780"/>
      <c r="H27" s="780"/>
      <c r="I27" s="780"/>
      <c r="J27" s="780"/>
      <c r="K27" s="780"/>
      <c r="L27" s="781"/>
      <c r="M27" s="31"/>
      <c r="N27" s="31"/>
      <c r="O27" s="73"/>
      <c r="P27" s="31"/>
      <c r="Q27" s="31"/>
      <c r="AA27" s="50">
        <v>677.8</v>
      </c>
      <c r="AB27" s="51">
        <v>90.317999999999998</v>
      </c>
      <c r="AC27" s="52">
        <f t="shared" si="1"/>
        <v>4.4225687985001136E-2</v>
      </c>
    </row>
    <row r="28" spans="4:33">
      <c r="D28" s="812" t="s">
        <v>102</v>
      </c>
      <c r="E28" s="821"/>
      <c r="F28" s="424" t="s">
        <v>240</v>
      </c>
      <c r="G28" s="422" t="s">
        <v>11</v>
      </c>
      <c r="H28" s="141" t="s">
        <v>64</v>
      </c>
      <c r="I28" s="425" t="s">
        <v>213</v>
      </c>
      <c r="J28" s="423"/>
      <c r="K28" s="812" t="s">
        <v>214</v>
      </c>
      <c r="L28" s="813"/>
      <c r="M28" s="423" t="s">
        <v>243</v>
      </c>
      <c r="O28" s="22"/>
      <c r="P28" s="22"/>
      <c r="Q28" s="22"/>
      <c r="AA28" s="50">
        <v>677.7</v>
      </c>
      <c r="AB28" s="51">
        <v>90.284999999999997</v>
      </c>
      <c r="AC28" s="52">
        <f t="shared" si="1"/>
        <v>4.4384397619528886E-2</v>
      </c>
    </row>
    <row r="29" spans="4:33">
      <c r="D29" s="759" t="s">
        <v>238</v>
      </c>
      <c r="E29" s="760"/>
      <c r="F29" s="434">
        <v>203</v>
      </c>
      <c r="G29" s="435" t="s">
        <v>46</v>
      </c>
      <c r="H29" s="436"/>
      <c r="I29" s="747" t="s">
        <v>241</v>
      </c>
      <c r="J29" s="748"/>
      <c r="K29" s="747" t="s">
        <v>245</v>
      </c>
      <c r="L29" s="748"/>
      <c r="M29" s="439">
        <v>44927</v>
      </c>
      <c r="P29" s="22"/>
      <c r="Q29" s="22"/>
      <c r="AA29" s="50">
        <v>677.6</v>
      </c>
      <c r="AB29" s="51">
        <v>90.244</v>
      </c>
      <c r="AC29" s="52">
        <f t="shared" si="1"/>
        <v>4.4581663145446274E-2</v>
      </c>
    </row>
    <row r="30" spans="4:33">
      <c r="D30" s="759" t="s">
        <v>239</v>
      </c>
      <c r="E30" s="760"/>
      <c r="F30" s="434">
        <v>203</v>
      </c>
      <c r="G30" s="435" t="s">
        <v>68</v>
      </c>
      <c r="H30" s="434">
        <v>1</v>
      </c>
      <c r="I30" s="747" t="s">
        <v>241</v>
      </c>
      <c r="J30" s="748"/>
      <c r="K30" s="747" t="s">
        <v>244</v>
      </c>
      <c r="L30" s="748"/>
      <c r="M30" s="439">
        <v>44927</v>
      </c>
      <c r="P30" s="22"/>
      <c r="Q30" s="22"/>
      <c r="AA30" s="50">
        <v>677.5</v>
      </c>
      <c r="AB30" s="51">
        <v>90.262</v>
      </c>
      <c r="AC30" s="52">
        <f t="shared" si="1"/>
        <v>4.4495047734322335E-2</v>
      </c>
    </row>
    <row r="31" spans="4:33">
      <c r="D31" s="759" t="s">
        <v>239</v>
      </c>
      <c r="E31" s="760"/>
      <c r="F31" s="434">
        <v>203</v>
      </c>
      <c r="G31" s="435" t="s">
        <v>69</v>
      </c>
      <c r="H31" s="437">
        <v>0.5</v>
      </c>
      <c r="I31" s="747" t="s">
        <v>241</v>
      </c>
      <c r="J31" s="748"/>
      <c r="K31" s="747" t="s">
        <v>244</v>
      </c>
      <c r="L31" s="748"/>
      <c r="M31" s="439">
        <v>44927</v>
      </c>
      <c r="P31" s="22"/>
      <c r="Q31" s="22"/>
      <c r="AA31" s="50">
        <v>677.4</v>
      </c>
      <c r="AB31" s="51">
        <v>90.272999999999996</v>
      </c>
      <c r="AC31" s="52">
        <f t="shared" si="1"/>
        <v>4.444212459690472E-2</v>
      </c>
    </row>
    <row r="32" spans="4:33">
      <c r="D32" s="759" t="s">
        <v>239</v>
      </c>
      <c r="E32" s="760"/>
      <c r="F32" s="434">
        <v>203</v>
      </c>
      <c r="G32" s="435" t="s">
        <v>45</v>
      </c>
      <c r="H32" s="434">
        <v>0.25</v>
      </c>
      <c r="I32" s="747" t="s">
        <v>241</v>
      </c>
      <c r="J32" s="748"/>
      <c r="K32" s="747" t="s">
        <v>244</v>
      </c>
      <c r="L32" s="748"/>
      <c r="M32" s="439">
        <v>44927</v>
      </c>
      <c r="P32" s="22"/>
      <c r="Q32" s="22"/>
      <c r="AA32" s="50">
        <v>677.3</v>
      </c>
      <c r="AB32" s="51">
        <v>90.278999999999996</v>
      </c>
      <c r="AC32" s="52">
        <f t="shared" si="1"/>
        <v>4.4413260149073826E-2</v>
      </c>
    </row>
    <row r="33" spans="4:40">
      <c r="D33" s="759" t="s">
        <v>103</v>
      </c>
      <c r="E33" s="760"/>
      <c r="F33" s="434"/>
      <c r="G33" s="435"/>
      <c r="H33" s="434"/>
      <c r="I33" s="747" t="s">
        <v>242</v>
      </c>
      <c r="J33" s="748"/>
      <c r="K33" s="819"/>
      <c r="L33" s="820"/>
      <c r="M33" s="438"/>
      <c r="P33" s="22"/>
      <c r="Q33" s="22"/>
      <c r="AA33" s="50">
        <v>677.2</v>
      </c>
      <c r="AB33" s="51">
        <v>90.27</v>
      </c>
      <c r="AC33" s="52">
        <f t="shared" si="1"/>
        <v>4.4456557540257034E-2</v>
      </c>
    </row>
    <row r="34" spans="4:40">
      <c r="D34" s="22"/>
      <c r="E34" s="22"/>
      <c r="F34" s="22"/>
      <c r="G34" s="22"/>
      <c r="H34" s="22"/>
      <c r="I34" s="22"/>
      <c r="J34" s="22"/>
      <c r="K34" s="22"/>
      <c r="L34" s="22"/>
      <c r="M34" s="22"/>
      <c r="N34" s="22"/>
      <c r="O34" s="22"/>
      <c r="P34" s="22"/>
      <c r="Q34" s="22"/>
      <c r="AA34" s="50">
        <v>677.1</v>
      </c>
      <c r="AB34" s="51">
        <v>90.287000000000006</v>
      </c>
      <c r="AC34" s="52">
        <f t="shared" si="1"/>
        <v>4.4374777202588853E-2</v>
      </c>
    </row>
    <row r="35" spans="4:40" ht="18.75">
      <c r="D35" s="779" t="s">
        <v>65</v>
      </c>
      <c r="E35" s="780"/>
      <c r="F35" s="780"/>
      <c r="G35" s="780"/>
      <c r="H35" s="780"/>
      <c r="I35" s="780"/>
      <c r="J35" s="780"/>
      <c r="K35" s="780"/>
      <c r="L35" s="780"/>
      <c r="M35" s="781"/>
      <c r="N35" s="31"/>
      <c r="O35" s="31"/>
      <c r="P35" s="31"/>
      <c r="Q35" s="31"/>
      <c r="AA35" s="50">
        <v>677</v>
      </c>
      <c r="AB35" s="51">
        <v>90.269000000000005</v>
      </c>
      <c r="AC35" s="52">
        <f t="shared" si="1"/>
        <v>4.4461368627965514E-2</v>
      </c>
    </row>
    <row r="36" spans="4:40" ht="18.75">
      <c r="D36" s="805" t="s">
        <v>21</v>
      </c>
      <c r="E36" s="806"/>
      <c r="F36" s="428"/>
      <c r="G36" s="426"/>
      <c r="H36" s="427"/>
      <c r="I36" s="428"/>
      <c r="J36" s="427"/>
      <c r="K36" s="811"/>
      <c r="L36" s="764"/>
      <c r="M36" s="765"/>
      <c r="N36" s="31"/>
      <c r="O36" s="31"/>
      <c r="P36" s="31"/>
      <c r="Q36" s="31"/>
      <c r="AA36" s="50">
        <v>676.9</v>
      </c>
      <c r="AB36" s="51">
        <v>90.322000000000003</v>
      </c>
      <c r="AC36" s="52">
        <f t="shared" si="1"/>
        <v>4.4206454394125377E-2</v>
      </c>
    </row>
    <row r="37" spans="4:40" ht="18.75">
      <c r="D37" s="807" t="s">
        <v>55</v>
      </c>
      <c r="E37" s="808"/>
      <c r="F37" s="5" t="s">
        <v>49</v>
      </c>
      <c r="G37" s="23">
        <v>23.4</v>
      </c>
      <c r="H37" s="4" t="s">
        <v>23</v>
      </c>
      <c r="I37" s="5" t="s">
        <v>24</v>
      </c>
      <c r="J37" s="447" t="s">
        <v>248</v>
      </c>
      <c r="K37" s="2" t="s">
        <v>25</v>
      </c>
      <c r="L37" s="449">
        <v>74</v>
      </c>
      <c r="M37" s="450" t="s">
        <v>249</v>
      </c>
      <c r="N37" s="31"/>
      <c r="O37" s="31"/>
      <c r="P37" s="31"/>
      <c r="Q37" s="31"/>
      <c r="AA37" s="50">
        <v>676.8</v>
      </c>
      <c r="AB37" s="51">
        <v>90.248000000000005</v>
      </c>
      <c r="AC37" s="52">
        <f t="shared" si="1"/>
        <v>4.4562413783392561E-2</v>
      </c>
    </row>
    <row r="38" spans="4:40" ht="18.75">
      <c r="D38" s="809"/>
      <c r="E38" s="810"/>
      <c r="F38" s="5" t="s">
        <v>50</v>
      </c>
      <c r="G38" s="23">
        <v>23.7</v>
      </c>
      <c r="H38" s="4" t="s">
        <v>23</v>
      </c>
      <c r="I38" s="5" t="s">
        <v>24</v>
      </c>
      <c r="J38" s="447" t="s">
        <v>248</v>
      </c>
      <c r="K38" s="3" t="s">
        <v>25</v>
      </c>
      <c r="L38" s="448">
        <v>79</v>
      </c>
      <c r="M38" s="450" t="s">
        <v>249</v>
      </c>
      <c r="N38" s="31"/>
      <c r="O38" s="31"/>
      <c r="P38" s="31"/>
      <c r="Q38" s="31"/>
      <c r="AA38" s="50">
        <v>676.7</v>
      </c>
      <c r="AB38" s="51">
        <v>90.27</v>
      </c>
      <c r="AC38" s="52">
        <f t="shared" si="1"/>
        <v>4.4456557540257034E-2</v>
      </c>
    </row>
    <row r="39" spans="4:40" ht="18.75">
      <c r="D39" s="807" t="s">
        <v>52</v>
      </c>
      <c r="E39" s="808"/>
      <c r="F39" s="5" t="s">
        <v>51</v>
      </c>
      <c r="G39" s="23">
        <v>23.4</v>
      </c>
      <c r="H39" s="4" t="s">
        <v>23</v>
      </c>
      <c r="I39" s="5" t="s">
        <v>24</v>
      </c>
      <c r="J39" s="447" t="s">
        <v>248</v>
      </c>
      <c r="K39" s="3" t="s">
        <v>25</v>
      </c>
      <c r="L39" s="448">
        <v>74</v>
      </c>
      <c r="M39" s="450" t="s">
        <v>249</v>
      </c>
      <c r="N39" s="31"/>
      <c r="O39" s="31"/>
      <c r="P39" s="31"/>
      <c r="Q39" s="31"/>
      <c r="AA39" s="50">
        <v>676.6</v>
      </c>
      <c r="AB39" s="51">
        <v>90.308999999999997</v>
      </c>
      <c r="AC39" s="52">
        <f t="shared" si="1"/>
        <v>4.4268966679109609E-2</v>
      </c>
    </row>
    <row r="40" spans="4:40" ht="18.75">
      <c r="D40" s="809"/>
      <c r="E40" s="810"/>
      <c r="F40" s="5" t="s">
        <v>50</v>
      </c>
      <c r="G40" s="23">
        <v>23.7</v>
      </c>
      <c r="H40" s="4" t="s">
        <v>23</v>
      </c>
      <c r="I40" s="5" t="s">
        <v>24</v>
      </c>
      <c r="J40" s="447" t="s">
        <v>248</v>
      </c>
      <c r="K40" s="3" t="s">
        <v>25</v>
      </c>
      <c r="L40" s="448">
        <v>79</v>
      </c>
      <c r="M40" s="450" t="s">
        <v>249</v>
      </c>
      <c r="N40" s="31"/>
      <c r="O40" s="31"/>
      <c r="P40" s="31"/>
      <c r="Q40" s="31"/>
      <c r="AA40" s="50">
        <v>676.5</v>
      </c>
      <c r="AB40" s="51">
        <v>90.24</v>
      </c>
      <c r="AC40" s="52">
        <f t="shared" si="1"/>
        <v>4.4600913360732936E-2</v>
      </c>
    </row>
    <row r="41" spans="4:40" ht="18.75">
      <c r="D41" s="27"/>
      <c r="E41" s="27"/>
      <c r="F41" s="22"/>
      <c r="G41" s="22"/>
      <c r="H41" s="22"/>
      <c r="I41" s="22"/>
      <c r="J41" s="22"/>
      <c r="K41" s="22"/>
      <c r="L41" s="22"/>
      <c r="M41" s="22"/>
      <c r="N41" s="31"/>
      <c r="O41" s="31"/>
      <c r="P41" s="31"/>
      <c r="Q41" s="31"/>
      <c r="AA41" s="50">
        <v>676.4</v>
      </c>
      <c r="AB41" s="51">
        <v>90.206000000000003</v>
      </c>
      <c r="AC41" s="52">
        <f t="shared" si="1"/>
        <v>4.476457465064184E-2</v>
      </c>
    </row>
    <row r="42" spans="4:40" ht="18.75">
      <c r="D42" s="779" t="s">
        <v>66</v>
      </c>
      <c r="E42" s="780"/>
      <c r="F42" s="780"/>
      <c r="G42" s="780"/>
      <c r="H42" s="780"/>
      <c r="I42" s="780"/>
      <c r="J42" s="780"/>
      <c r="K42" s="780"/>
      <c r="L42" s="781"/>
      <c r="M42" s="31"/>
      <c r="N42" s="31"/>
      <c r="O42" s="31"/>
      <c r="P42" s="31"/>
      <c r="Q42" s="31"/>
      <c r="AA42" s="50">
        <v>676.3</v>
      </c>
      <c r="AB42" s="51">
        <v>90.165000000000006</v>
      </c>
      <c r="AC42" s="52">
        <f t="shared" si="1"/>
        <v>4.496201297570198E-2</v>
      </c>
    </row>
    <row r="43" spans="4:40">
      <c r="D43" s="801" t="s">
        <v>55</v>
      </c>
      <c r="E43" s="802"/>
      <c r="F43" s="25" t="s">
        <v>54</v>
      </c>
      <c r="G43" s="3"/>
      <c r="H43" s="23">
        <v>1</v>
      </c>
      <c r="I43" s="4" t="s">
        <v>53</v>
      </c>
      <c r="J43" s="25" t="s">
        <v>57</v>
      </c>
      <c r="K43" s="70" t="s">
        <v>475</v>
      </c>
      <c r="L43" s="4" t="s">
        <v>56</v>
      </c>
      <c r="M43" s="22"/>
      <c r="N43" s="22"/>
      <c r="O43" s="22"/>
      <c r="P43" s="22"/>
      <c r="Q43" s="22"/>
      <c r="AA43" s="50">
        <v>676.2</v>
      </c>
      <c r="AB43" s="51">
        <v>90.156000000000006</v>
      </c>
      <c r="AC43" s="52">
        <f t="shared" si="1"/>
        <v>4.5005365112617553E-2</v>
      </c>
    </row>
    <row r="44" spans="4:40">
      <c r="D44" s="799" t="s">
        <v>52</v>
      </c>
      <c r="E44" s="800"/>
      <c r="F44" s="25" t="s">
        <v>54</v>
      </c>
      <c r="G44" s="3"/>
      <c r="H44" s="23">
        <v>1</v>
      </c>
      <c r="I44" s="4" t="s">
        <v>53</v>
      </c>
      <c r="J44" s="25" t="s">
        <v>57</v>
      </c>
      <c r="K44" s="70" t="s">
        <v>475</v>
      </c>
      <c r="L44" s="4" t="s">
        <v>56</v>
      </c>
      <c r="M44" s="22"/>
      <c r="N44" s="22"/>
      <c r="O44" s="22"/>
      <c r="P44" s="22"/>
      <c r="Q44" s="22"/>
      <c r="AA44" s="50">
        <v>676.1</v>
      </c>
      <c r="AB44" s="51">
        <v>90.233999999999995</v>
      </c>
      <c r="AC44" s="52">
        <f t="shared" si="1"/>
        <v>4.462979028364019E-2</v>
      </c>
    </row>
    <row r="45" spans="4:40">
      <c r="D45" s="801" t="s">
        <v>55</v>
      </c>
      <c r="E45" s="802"/>
      <c r="F45" s="28" t="s">
        <v>336</v>
      </c>
      <c r="G45" s="24">
        <v>1</v>
      </c>
      <c r="H45" s="22" t="s">
        <v>53</v>
      </c>
      <c r="I45" s="22"/>
      <c r="J45" s="28" t="s">
        <v>58</v>
      </c>
      <c r="K45" s="24">
        <v>0.5</v>
      </c>
      <c r="L45" s="34" t="s">
        <v>53</v>
      </c>
      <c r="M45" s="22"/>
      <c r="N45" s="22"/>
      <c r="O45" s="22"/>
      <c r="P45" s="22"/>
      <c r="Q45" s="22"/>
      <c r="AA45" s="50">
        <v>676</v>
      </c>
      <c r="AB45" s="51">
        <v>90.242000000000004</v>
      </c>
      <c r="AC45" s="52">
        <f t="shared" si="1"/>
        <v>4.4591288146430756E-2</v>
      </c>
    </row>
    <row r="46" spans="4:40">
      <c r="D46" s="803" t="s">
        <v>52</v>
      </c>
      <c r="E46" s="804"/>
      <c r="F46" s="26" t="s">
        <v>58</v>
      </c>
      <c r="G46" s="108">
        <v>1E-3</v>
      </c>
      <c r="H46" s="2" t="s">
        <v>59</v>
      </c>
      <c r="I46" s="2"/>
      <c r="J46" s="26" t="s">
        <v>58</v>
      </c>
      <c r="K46" s="108">
        <v>0.1</v>
      </c>
      <c r="L46" s="15" t="s">
        <v>60</v>
      </c>
      <c r="M46" s="22"/>
      <c r="N46" s="22"/>
      <c r="O46" s="22"/>
      <c r="P46" s="22"/>
      <c r="Q46" s="22"/>
      <c r="AA46" s="50">
        <v>675.9</v>
      </c>
      <c r="AB46" s="51">
        <v>90.277000000000001</v>
      </c>
      <c r="AC46" s="52">
        <f t="shared" si="1"/>
        <v>4.4422881418528654E-2</v>
      </c>
      <c r="AN46" t="str">
        <f>IF(ISBLANK(N389:N389),AVERAGE(N389:N389),"")</f>
        <v/>
      </c>
    </row>
    <row r="47" spans="4:40">
      <c r="D47" s="109"/>
      <c r="E47" s="109"/>
      <c r="F47" s="28"/>
      <c r="G47" s="22"/>
      <c r="H47" s="22"/>
      <c r="I47" s="22"/>
      <c r="J47" s="28"/>
      <c r="K47" s="22"/>
      <c r="L47" s="22"/>
      <c r="M47" s="22"/>
      <c r="N47" s="22"/>
      <c r="O47" s="22"/>
      <c r="P47" s="22"/>
      <c r="Q47" s="22"/>
      <c r="AA47" s="50">
        <v>675.8</v>
      </c>
      <c r="AB47" s="51">
        <v>90.233999999999995</v>
      </c>
      <c r="AC47" s="52">
        <f t="shared" si="1"/>
        <v>4.462979028364019E-2</v>
      </c>
      <c r="AF47" s="29"/>
    </row>
    <row r="48" spans="4:40">
      <c r="D48" s="796" t="s">
        <v>72</v>
      </c>
      <c r="E48" s="796"/>
      <c r="F48" s="796"/>
      <c r="G48" s="796"/>
      <c r="H48" s="796"/>
      <c r="I48" s="796"/>
      <c r="J48" s="796"/>
      <c r="K48" s="796"/>
      <c r="L48" s="796"/>
      <c r="M48" s="113"/>
      <c r="N48" s="113"/>
      <c r="O48" s="113"/>
      <c r="P48" s="113"/>
      <c r="Q48" s="113"/>
      <c r="AA48" s="50">
        <v>675.7</v>
      </c>
      <c r="AB48" s="51">
        <v>90.230999999999995</v>
      </c>
      <c r="AC48" s="52">
        <f t="shared" si="1"/>
        <v>4.4644229465152716E-2</v>
      </c>
    </row>
    <row r="49" spans="1:106">
      <c r="AA49" s="50">
        <v>675.6</v>
      </c>
      <c r="AB49" s="51">
        <v>90.156000000000006</v>
      </c>
      <c r="AC49" s="52">
        <f t="shared" si="1"/>
        <v>4.5005365112617553E-2</v>
      </c>
    </row>
    <row r="50" spans="1:106" ht="15.75" customHeight="1">
      <c r="A50" s="793" t="s">
        <v>70</v>
      </c>
      <c r="B50" s="794"/>
      <c r="C50" s="794"/>
      <c r="D50" s="794"/>
      <c r="E50" s="794"/>
      <c r="F50" s="794"/>
      <c r="G50" s="794"/>
      <c r="H50" s="794"/>
      <c r="I50" s="794"/>
      <c r="J50" s="794"/>
      <c r="K50" s="794"/>
      <c r="L50" s="794"/>
      <c r="M50" s="794"/>
      <c r="N50" s="794"/>
      <c r="O50" s="794"/>
      <c r="P50" s="794"/>
      <c r="Q50" s="794"/>
      <c r="R50" s="794"/>
      <c r="S50" s="795"/>
      <c r="U50" s="48"/>
      <c r="AA50" s="50">
        <v>675.5</v>
      </c>
      <c r="AB50" s="51">
        <v>90.176000000000002</v>
      </c>
      <c r="AC50" s="52">
        <f t="shared" si="1"/>
        <v>4.4909032906756401E-2</v>
      </c>
      <c r="AL50" s="30"/>
    </row>
    <row r="51" spans="1:106" ht="15" customHeight="1" thickBot="1">
      <c r="A51" s="67" t="s">
        <v>81</v>
      </c>
      <c r="B51" s="68" t="s">
        <v>82</v>
      </c>
      <c r="C51" s="69" t="s">
        <v>59</v>
      </c>
      <c r="D51" s="585" t="s">
        <v>271</v>
      </c>
      <c r="E51" s="68" t="s">
        <v>82</v>
      </c>
      <c r="F51" s="69" t="s">
        <v>59</v>
      </c>
      <c r="G51" s="564" t="s">
        <v>271</v>
      </c>
      <c r="H51" s="35"/>
      <c r="I51" s="35"/>
      <c r="J51" s="35"/>
      <c r="K51" s="35"/>
      <c r="L51" s="35"/>
      <c r="M51" s="35"/>
      <c r="AA51" s="50">
        <v>675.4</v>
      </c>
      <c r="AB51" s="51">
        <v>90.162999999999997</v>
      </c>
      <c r="AC51" s="52">
        <f t="shared" si="1"/>
        <v>4.4971646409931253E-2</v>
      </c>
    </row>
    <row r="52" spans="1:106" ht="15" customHeight="1" thickTop="1">
      <c r="A52" s="562"/>
      <c r="B52" s="42">
        <f t="shared" ref="B52:B62" si="2">IF(ISNUMBER($G$45),B53+$G$45,"")</f>
        <v>649</v>
      </c>
      <c r="C52" s="567"/>
      <c r="D52" s="565" t="str">
        <f t="shared" ref="D52:D63" si="3">IF(C52&lt;&gt;"",IF(C52 = LARGE($C$52:$C$76,1), C52, ""), "")</f>
        <v/>
      </c>
      <c r="E52" s="42">
        <f t="shared" ref="E52:E62" si="4">IF(ISNUMBER($G$45),E53+$K$45,"")</f>
        <v>643</v>
      </c>
      <c r="F52" s="660"/>
      <c r="G52" s="36" t="str">
        <f t="shared" ref="G52:G63" si="5">IF(F52 &lt;&gt;"", IF(F52 = LARGE($F$52:$F$76,1), F52, ""), "")</f>
        <v/>
      </c>
      <c r="H52" s="35"/>
      <c r="I52" s="35"/>
      <c r="J52" s="35"/>
      <c r="K52" s="35"/>
      <c r="L52" s="35"/>
      <c r="M52" s="35"/>
      <c r="AA52" s="50">
        <v>675.3</v>
      </c>
      <c r="AB52" s="51">
        <v>90.225999999999999</v>
      </c>
      <c r="AC52" s="52">
        <f t="shared" si="1"/>
        <v>4.4668295834537908E-2</v>
      </c>
    </row>
    <row r="53" spans="1:106" ht="15" customHeight="1" thickBot="1">
      <c r="A53" s="563"/>
      <c r="B53" s="42">
        <f t="shared" si="2"/>
        <v>648</v>
      </c>
      <c r="C53" s="568"/>
      <c r="D53" s="565" t="str">
        <f t="shared" si="3"/>
        <v/>
      </c>
      <c r="E53" s="42">
        <f t="shared" si="4"/>
        <v>642.5</v>
      </c>
      <c r="F53" s="655"/>
      <c r="G53" s="36" t="str">
        <f t="shared" si="5"/>
        <v/>
      </c>
      <c r="H53" s="35"/>
      <c r="I53" s="35"/>
      <c r="J53" s="35"/>
      <c r="K53" s="35"/>
      <c r="L53" s="35"/>
      <c r="M53" s="35"/>
      <c r="U53" s="589" t="s">
        <v>337</v>
      </c>
      <c r="AA53" s="50">
        <v>675.2</v>
      </c>
      <c r="AB53" s="51">
        <v>90.183000000000007</v>
      </c>
      <c r="AC53" s="52">
        <f t="shared" si="1"/>
        <v>4.4875321682200375E-2</v>
      </c>
    </row>
    <row r="54" spans="1:106" ht="15" customHeight="1">
      <c r="A54" s="563"/>
      <c r="B54" s="42">
        <f t="shared" si="2"/>
        <v>647</v>
      </c>
      <c r="C54" s="568"/>
      <c r="D54" s="565" t="str">
        <f t="shared" si="3"/>
        <v/>
      </c>
      <c r="E54" s="42">
        <f t="shared" si="4"/>
        <v>642</v>
      </c>
      <c r="F54" s="655"/>
      <c r="G54" s="36" t="str">
        <f t="shared" si="5"/>
        <v/>
      </c>
      <c r="H54" s="35"/>
      <c r="I54" s="35"/>
      <c r="J54" s="35"/>
      <c r="K54" s="35"/>
      <c r="L54" s="35"/>
      <c r="M54" s="35"/>
      <c r="U54" s="103" t="s">
        <v>88</v>
      </c>
      <c r="V54" s="104" t="s">
        <v>89</v>
      </c>
      <c r="W54" s="105" t="s">
        <v>90</v>
      </c>
      <c r="X54" s="104" t="s">
        <v>91</v>
      </c>
      <c r="Y54" s="106" t="s">
        <v>96</v>
      </c>
      <c r="AA54" s="50">
        <v>675.1</v>
      </c>
      <c r="AB54" s="51">
        <v>90.171000000000006</v>
      </c>
      <c r="AC54" s="52">
        <f t="shared" si="1"/>
        <v>4.4933113955069624E-2</v>
      </c>
      <c r="AD54" s="746" t="s">
        <v>95</v>
      </c>
      <c r="AE54" s="53">
        <v>631.5</v>
      </c>
      <c r="AF54" s="53">
        <f t="shared" ref="AF54:CM54" si="6">AE54+0.2</f>
        <v>631.70000000000005</v>
      </c>
      <c r="AG54" s="53">
        <f t="shared" si="6"/>
        <v>631.90000000000009</v>
      </c>
      <c r="AH54" s="53">
        <f t="shared" si="6"/>
        <v>632.10000000000014</v>
      </c>
      <c r="AI54" s="53">
        <f t="shared" si="6"/>
        <v>632.30000000000018</v>
      </c>
      <c r="AJ54" s="53">
        <f t="shared" si="6"/>
        <v>632.50000000000023</v>
      </c>
      <c r="AK54" s="53">
        <f t="shared" si="6"/>
        <v>632.70000000000027</v>
      </c>
      <c r="AL54" s="53">
        <f t="shared" si="6"/>
        <v>632.90000000000032</v>
      </c>
      <c r="AM54" s="53">
        <f t="shared" si="6"/>
        <v>633.10000000000036</v>
      </c>
      <c r="AN54" s="53">
        <f t="shared" si="6"/>
        <v>633.30000000000041</v>
      </c>
      <c r="AO54" s="53">
        <f t="shared" si="6"/>
        <v>633.50000000000045</v>
      </c>
      <c r="AP54" s="53">
        <f t="shared" si="6"/>
        <v>633.7000000000005</v>
      </c>
      <c r="AQ54" s="53">
        <f t="shared" si="6"/>
        <v>633.90000000000055</v>
      </c>
      <c r="AR54" s="53">
        <f t="shared" si="6"/>
        <v>634.10000000000059</v>
      </c>
      <c r="AS54" s="53">
        <f t="shared" si="6"/>
        <v>634.30000000000064</v>
      </c>
      <c r="AT54" s="53">
        <f t="shared" si="6"/>
        <v>634.50000000000068</v>
      </c>
      <c r="AU54" s="53">
        <f t="shared" si="6"/>
        <v>634.70000000000073</v>
      </c>
      <c r="AV54" s="53">
        <f t="shared" si="6"/>
        <v>634.90000000000077</v>
      </c>
      <c r="AW54" s="53">
        <f t="shared" si="6"/>
        <v>635.10000000000082</v>
      </c>
      <c r="AX54" s="53">
        <f t="shared" si="6"/>
        <v>635.30000000000086</v>
      </c>
      <c r="AY54" s="53">
        <f t="shared" si="6"/>
        <v>635.50000000000091</v>
      </c>
      <c r="AZ54" s="53">
        <f t="shared" si="6"/>
        <v>635.70000000000095</v>
      </c>
      <c r="BA54" s="53">
        <f t="shared" si="6"/>
        <v>635.900000000001</v>
      </c>
      <c r="BB54" s="53">
        <f t="shared" si="6"/>
        <v>636.10000000000105</v>
      </c>
      <c r="BC54" s="53">
        <f t="shared" si="6"/>
        <v>636.30000000000109</v>
      </c>
      <c r="BD54" s="53">
        <f t="shared" si="6"/>
        <v>636.50000000000114</v>
      </c>
      <c r="BE54" s="53">
        <f t="shared" si="6"/>
        <v>636.70000000000118</v>
      </c>
      <c r="BF54" s="53">
        <f t="shared" si="6"/>
        <v>636.90000000000123</v>
      </c>
      <c r="BG54" s="53">
        <f t="shared" si="6"/>
        <v>637.10000000000127</v>
      </c>
      <c r="BH54" s="53">
        <f t="shared" si="6"/>
        <v>637.30000000000132</v>
      </c>
      <c r="BI54" s="53">
        <f t="shared" si="6"/>
        <v>637.50000000000136</v>
      </c>
      <c r="BJ54" s="53">
        <f t="shared" si="6"/>
        <v>637.70000000000141</v>
      </c>
      <c r="BK54" s="53">
        <f t="shared" si="6"/>
        <v>637.90000000000146</v>
      </c>
      <c r="BL54" s="53">
        <f t="shared" si="6"/>
        <v>638.1000000000015</v>
      </c>
      <c r="BM54" s="53">
        <f t="shared" si="6"/>
        <v>638.30000000000155</v>
      </c>
      <c r="BN54" s="53">
        <f t="shared" si="6"/>
        <v>638.50000000000159</v>
      </c>
      <c r="BO54" s="53">
        <f t="shared" si="6"/>
        <v>638.70000000000164</v>
      </c>
      <c r="BP54" s="53">
        <f t="shared" si="6"/>
        <v>638.90000000000168</v>
      </c>
      <c r="BQ54" s="53">
        <f t="shared" si="6"/>
        <v>639.10000000000173</v>
      </c>
      <c r="BR54" s="53">
        <f t="shared" si="6"/>
        <v>639.30000000000177</v>
      </c>
      <c r="BS54" s="53">
        <f t="shared" si="6"/>
        <v>639.50000000000182</v>
      </c>
      <c r="BT54" s="53">
        <f t="shared" si="6"/>
        <v>639.70000000000186</v>
      </c>
      <c r="BU54" s="53">
        <f t="shared" si="6"/>
        <v>639.90000000000191</v>
      </c>
      <c r="BV54" s="53">
        <f t="shared" si="6"/>
        <v>640.10000000000196</v>
      </c>
      <c r="BW54" s="53">
        <f t="shared" si="6"/>
        <v>640.300000000002</v>
      </c>
      <c r="BX54" s="53">
        <f t="shared" si="6"/>
        <v>640.50000000000205</v>
      </c>
      <c r="BY54" s="53">
        <f t="shared" si="6"/>
        <v>640.70000000000209</v>
      </c>
      <c r="BZ54" s="53">
        <f t="shared" si="6"/>
        <v>640.90000000000214</v>
      </c>
      <c r="CA54" s="53">
        <f t="shared" si="6"/>
        <v>641.10000000000218</v>
      </c>
      <c r="CB54" s="53">
        <f t="shared" si="6"/>
        <v>641.30000000000223</v>
      </c>
      <c r="CC54" s="53">
        <f t="shared" si="6"/>
        <v>641.50000000000227</v>
      </c>
      <c r="CD54" s="53">
        <f t="shared" si="6"/>
        <v>641.70000000000232</v>
      </c>
      <c r="CE54" s="53">
        <f t="shared" si="6"/>
        <v>641.90000000000236</v>
      </c>
      <c r="CF54" s="53">
        <f t="shared" si="6"/>
        <v>642.10000000000241</v>
      </c>
      <c r="CG54" s="53">
        <f t="shared" si="6"/>
        <v>642.30000000000246</v>
      </c>
      <c r="CH54" s="53">
        <f t="shared" si="6"/>
        <v>642.5000000000025</v>
      </c>
      <c r="CI54" s="53">
        <f t="shared" si="6"/>
        <v>642.70000000000255</v>
      </c>
      <c r="CJ54" s="53">
        <f t="shared" si="6"/>
        <v>642.90000000000259</v>
      </c>
      <c r="CK54" s="53">
        <f t="shared" si="6"/>
        <v>643.10000000000264</v>
      </c>
      <c r="CL54" s="53">
        <f t="shared" si="6"/>
        <v>643.30000000000268</v>
      </c>
      <c r="CM54" s="53">
        <f t="shared" si="6"/>
        <v>643.50000000000273</v>
      </c>
      <c r="CN54" s="53"/>
      <c r="CO54" s="53"/>
      <c r="CP54" s="53"/>
      <c r="CQ54" s="53"/>
      <c r="CR54" s="53"/>
      <c r="CS54" s="53"/>
      <c r="CT54" s="53"/>
      <c r="CU54" s="53"/>
      <c r="CV54" s="53"/>
      <c r="CW54" s="53"/>
      <c r="CX54" s="53"/>
      <c r="CY54" s="53"/>
      <c r="CZ54" s="53"/>
      <c r="DA54" s="53"/>
      <c r="DB54" s="53"/>
    </row>
    <row r="55" spans="1:106" ht="15" customHeight="1" thickBot="1">
      <c r="A55" s="563"/>
      <c r="B55" s="42">
        <f t="shared" si="2"/>
        <v>646</v>
      </c>
      <c r="C55" s="568"/>
      <c r="D55" s="565" t="str">
        <f t="shared" si="3"/>
        <v/>
      </c>
      <c r="E55" s="42">
        <f t="shared" si="4"/>
        <v>641.5</v>
      </c>
      <c r="F55" s="655"/>
      <c r="G55" s="36" t="str">
        <f t="shared" si="5"/>
        <v/>
      </c>
      <c r="H55" s="35"/>
      <c r="I55" s="35"/>
      <c r="J55" s="35"/>
      <c r="K55" s="35"/>
      <c r="L55" s="35"/>
      <c r="M55" s="35"/>
      <c r="U55" s="114">
        <v>643.5</v>
      </c>
      <c r="V55" s="116">
        <v>0.13969999999999999</v>
      </c>
      <c r="W55" s="115">
        <v>637.6</v>
      </c>
      <c r="X55" s="116">
        <v>0.2064</v>
      </c>
      <c r="Y55" s="107">
        <f>(V55 + X55)/2</f>
        <v>0.17304999999999998</v>
      </c>
      <c r="AA55" s="50">
        <v>675</v>
      </c>
      <c r="AB55" s="51">
        <v>90.114999999999995</v>
      </c>
      <c r="AC55" s="52">
        <f t="shared" si="1"/>
        <v>4.5202912960746834E-2</v>
      </c>
      <c r="AD55" s="746"/>
      <c r="AE55" s="52">
        <f>$Y55</f>
        <v>0.17304999999999998</v>
      </c>
      <c r="AF55" s="53">
        <f>AE55</f>
        <v>0.17304999999999998</v>
      </c>
      <c r="AG55" s="53">
        <f>AF55</f>
        <v>0.17304999999999998</v>
      </c>
      <c r="AH55" s="53">
        <f t="shared" ref="AH55:CM55" si="7">AG55</f>
        <v>0.17304999999999998</v>
      </c>
      <c r="AI55" s="53">
        <f t="shared" si="7"/>
        <v>0.17304999999999998</v>
      </c>
      <c r="AJ55" s="53">
        <f t="shared" si="7"/>
        <v>0.17304999999999998</v>
      </c>
      <c r="AK55" s="53">
        <f t="shared" si="7"/>
        <v>0.17304999999999998</v>
      </c>
      <c r="AL55" s="53">
        <f t="shared" si="7"/>
        <v>0.17304999999999998</v>
      </c>
      <c r="AM55" s="53">
        <f t="shared" si="7"/>
        <v>0.17304999999999998</v>
      </c>
      <c r="AN55" s="53">
        <f t="shared" si="7"/>
        <v>0.17304999999999998</v>
      </c>
      <c r="AO55" s="53">
        <f t="shared" si="7"/>
        <v>0.17304999999999998</v>
      </c>
      <c r="AP55" s="53">
        <f t="shared" si="7"/>
        <v>0.17304999999999998</v>
      </c>
      <c r="AQ55" s="53">
        <f t="shared" si="7"/>
        <v>0.17304999999999998</v>
      </c>
      <c r="AR55" s="53">
        <f t="shared" si="7"/>
        <v>0.17304999999999998</v>
      </c>
      <c r="AS55" s="53">
        <f t="shared" si="7"/>
        <v>0.17304999999999998</v>
      </c>
      <c r="AT55" s="53">
        <f t="shared" si="7"/>
        <v>0.17304999999999998</v>
      </c>
      <c r="AU55" s="53">
        <f t="shared" si="7"/>
        <v>0.17304999999999998</v>
      </c>
      <c r="AV55" s="53">
        <f t="shared" si="7"/>
        <v>0.17304999999999998</v>
      </c>
      <c r="AW55" s="53">
        <f t="shared" si="7"/>
        <v>0.17304999999999998</v>
      </c>
      <c r="AX55" s="53">
        <f t="shared" si="7"/>
        <v>0.17304999999999998</v>
      </c>
      <c r="AY55" s="53">
        <f t="shared" si="7"/>
        <v>0.17304999999999998</v>
      </c>
      <c r="AZ55" s="53">
        <f t="shared" si="7"/>
        <v>0.17304999999999998</v>
      </c>
      <c r="BA55" s="53">
        <f t="shared" si="7"/>
        <v>0.17304999999999998</v>
      </c>
      <c r="BB55" s="53">
        <f t="shared" si="7"/>
        <v>0.17304999999999998</v>
      </c>
      <c r="BC55" s="53">
        <f t="shared" si="7"/>
        <v>0.17304999999999998</v>
      </c>
      <c r="BD55" s="53">
        <f t="shared" si="7"/>
        <v>0.17304999999999998</v>
      </c>
      <c r="BE55" s="53">
        <f t="shared" si="7"/>
        <v>0.17304999999999998</v>
      </c>
      <c r="BF55" s="53">
        <f t="shared" si="7"/>
        <v>0.17304999999999998</v>
      </c>
      <c r="BG55" s="53">
        <f t="shared" si="7"/>
        <v>0.17304999999999998</v>
      </c>
      <c r="BH55" s="53">
        <f t="shared" si="7"/>
        <v>0.17304999999999998</v>
      </c>
      <c r="BI55" s="53">
        <f t="shared" si="7"/>
        <v>0.17304999999999998</v>
      </c>
      <c r="BJ55" s="53">
        <f t="shared" si="7"/>
        <v>0.17304999999999998</v>
      </c>
      <c r="BK55" s="53">
        <f t="shared" si="7"/>
        <v>0.17304999999999998</v>
      </c>
      <c r="BL55" s="53">
        <f t="shared" si="7"/>
        <v>0.17304999999999998</v>
      </c>
      <c r="BM55" s="53">
        <f t="shared" si="7"/>
        <v>0.17304999999999998</v>
      </c>
      <c r="BN55" s="53">
        <f t="shared" si="7"/>
        <v>0.17304999999999998</v>
      </c>
      <c r="BO55" s="53">
        <f t="shared" si="7"/>
        <v>0.17304999999999998</v>
      </c>
      <c r="BP55" s="53">
        <f t="shared" si="7"/>
        <v>0.17304999999999998</v>
      </c>
      <c r="BQ55" s="53">
        <f t="shared" si="7"/>
        <v>0.17304999999999998</v>
      </c>
      <c r="BR55" s="53">
        <f t="shared" si="7"/>
        <v>0.17304999999999998</v>
      </c>
      <c r="BS55" s="53">
        <f t="shared" si="7"/>
        <v>0.17304999999999998</v>
      </c>
      <c r="BT55" s="53">
        <f t="shared" si="7"/>
        <v>0.17304999999999998</v>
      </c>
      <c r="BU55" s="53">
        <f t="shared" si="7"/>
        <v>0.17304999999999998</v>
      </c>
      <c r="BV55" s="53">
        <f t="shared" si="7"/>
        <v>0.17304999999999998</v>
      </c>
      <c r="BW55" s="53">
        <f t="shared" si="7"/>
        <v>0.17304999999999998</v>
      </c>
      <c r="BX55" s="53">
        <f t="shared" si="7"/>
        <v>0.17304999999999998</v>
      </c>
      <c r="BY55" s="53">
        <f t="shared" si="7"/>
        <v>0.17304999999999998</v>
      </c>
      <c r="BZ55" s="53">
        <f t="shared" si="7"/>
        <v>0.17304999999999998</v>
      </c>
      <c r="CA55" s="53">
        <f t="shared" si="7"/>
        <v>0.17304999999999998</v>
      </c>
      <c r="CB55" s="53">
        <f t="shared" si="7"/>
        <v>0.17304999999999998</v>
      </c>
      <c r="CC55" s="53">
        <f t="shared" si="7"/>
        <v>0.17304999999999998</v>
      </c>
      <c r="CD55" s="53">
        <f t="shared" si="7"/>
        <v>0.17304999999999998</v>
      </c>
      <c r="CE55" s="53">
        <f t="shared" si="7"/>
        <v>0.17304999999999998</v>
      </c>
      <c r="CF55" s="53">
        <f t="shared" si="7"/>
        <v>0.17304999999999998</v>
      </c>
      <c r="CG55" s="53">
        <f t="shared" si="7"/>
        <v>0.17304999999999998</v>
      </c>
      <c r="CH55" s="53">
        <f t="shared" si="7"/>
        <v>0.17304999999999998</v>
      </c>
      <c r="CI55" s="53">
        <f t="shared" si="7"/>
        <v>0.17304999999999998</v>
      </c>
      <c r="CJ55" s="53">
        <f t="shared" si="7"/>
        <v>0.17304999999999998</v>
      </c>
      <c r="CK55" s="53">
        <f t="shared" si="7"/>
        <v>0.17304999999999998</v>
      </c>
      <c r="CL55" s="53">
        <f t="shared" si="7"/>
        <v>0.17304999999999998</v>
      </c>
      <c r="CM55" s="53">
        <f t="shared" si="7"/>
        <v>0.17304999999999998</v>
      </c>
    </row>
    <row r="56" spans="1:106" ht="15" customHeight="1">
      <c r="A56" s="563"/>
      <c r="B56" s="42">
        <f t="shared" si="2"/>
        <v>645</v>
      </c>
      <c r="C56" s="568"/>
      <c r="D56" s="565" t="str">
        <f t="shared" si="3"/>
        <v/>
      </c>
      <c r="E56" s="42">
        <f t="shared" si="4"/>
        <v>641</v>
      </c>
      <c r="F56" s="655"/>
      <c r="G56" s="36" t="str">
        <f t="shared" si="5"/>
        <v/>
      </c>
      <c r="H56" s="35"/>
      <c r="I56" s="35"/>
      <c r="J56" s="35"/>
      <c r="K56" s="35"/>
      <c r="L56" s="35"/>
      <c r="M56" s="35"/>
      <c r="AA56" s="50">
        <v>674.9</v>
      </c>
      <c r="AB56" s="51">
        <v>90.072999999999993</v>
      </c>
      <c r="AC56" s="52">
        <f t="shared" si="1"/>
        <v>4.540537226514306E-2</v>
      </c>
    </row>
    <row r="57" spans="1:106" ht="15" customHeight="1" thickBot="1">
      <c r="A57" s="563"/>
      <c r="B57" s="42">
        <f t="shared" si="2"/>
        <v>644</v>
      </c>
      <c r="C57" s="568">
        <v>0.126</v>
      </c>
      <c r="D57" s="565" t="str">
        <f t="shared" si="3"/>
        <v/>
      </c>
      <c r="E57" s="42">
        <f t="shared" si="4"/>
        <v>640.5</v>
      </c>
      <c r="F57" s="655">
        <v>0.126</v>
      </c>
      <c r="G57" s="36" t="str">
        <f t="shared" si="5"/>
        <v/>
      </c>
      <c r="H57" s="35"/>
      <c r="I57" s="35"/>
      <c r="J57" s="35"/>
      <c r="K57" s="35"/>
      <c r="L57" s="35"/>
      <c r="M57" s="35"/>
      <c r="AA57" s="50">
        <v>674.8</v>
      </c>
      <c r="AB57" s="51">
        <v>90.122</v>
      </c>
      <c r="AC57" s="52">
        <f t="shared" si="1"/>
        <v>4.5169178917516456E-2</v>
      </c>
    </row>
    <row r="58" spans="1:106" ht="15" customHeight="1">
      <c r="A58" s="590" t="s">
        <v>352</v>
      </c>
      <c r="B58" s="42">
        <f t="shared" si="2"/>
        <v>643</v>
      </c>
      <c r="C58" s="568">
        <v>0.129</v>
      </c>
      <c r="D58" s="565" t="str">
        <f t="shared" si="3"/>
        <v/>
      </c>
      <c r="E58" s="42">
        <f t="shared" si="4"/>
        <v>640</v>
      </c>
      <c r="F58" s="655">
        <v>0.13100000000000001</v>
      </c>
      <c r="G58" s="36" t="str">
        <f t="shared" si="5"/>
        <v/>
      </c>
      <c r="H58" s="35"/>
      <c r="I58" s="35"/>
      <c r="J58" s="35"/>
      <c r="K58" s="35"/>
      <c r="L58" s="35"/>
      <c r="M58" s="35"/>
      <c r="U58" s="95" t="s">
        <v>87</v>
      </c>
      <c r="V58" s="96">
        <f>X59 - X58</f>
        <v>5.7999999999999545</v>
      </c>
      <c r="W58" s="119" t="s">
        <v>92</v>
      </c>
      <c r="X58" s="117">
        <v>634.70000000000005</v>
      </c>
      <c r="Y58" s="98" t="s">
        <v>53</v>
      </c>
      <c r="AA58" s="50">
        <v>674.7</v>
      </c>
      <c r="AB58" s="51">
        <v>90.198999999999998</v>
      </c>
      <c r="AC58" s="52">
        <f t="shared" si="1"/>
        <v>4.4798277279447629E-2</v>
      </c>
    </row>
    <row r="59" spans="1:106" ht="15" customHeight="1" thickBot="1">
      <c r="A59" s="46"/>
      <c r="B59" s="42">
        <f t="shared" si="2"/>
        <v>642</v>
      </c>
      <c r="C59" s="568">
        <v>0.13400000000000001</v>
      </c>
      <c r="D59" s="565" t="str">
        <f t="shared" si="3"/>
        <v/>
      </c>
      <c r="E59" s="42">
        <f t="shared" si="4"/>
        <v>639.5</v>
      </c>
      <c r="F59" s="655">
        <v>0.13600000000000001</v>
      </c>
      <c r="G59" s="36" t="str">
        <f t="shared" si="5"/>
        <v/>
      </c>
      <c r="H59" s="35"/>
      <c r="I59" s="35"/>
      <c r="J59" s="35"/>
      <c r="K59" s="35"/>
      <c r="L59" s="35"/>
      <c r="M59" s="36"/>
      <c r="U59" s="99" t="s">
        <v>93</v>
      </c>
      <c r="V59" s="100">
        <f>X55 - Y55</f>
        <v>3.3350000000000019E-2</v>
      </c>
      <c r="W59" s="120" t="s">
        <v>94</v>
      </c>
      <c r="X59" s="118">
        <v>640.5</v>
      </c>
      <c r="Y59" s="102" t="s">
        <v>53</v>
      </c>
      <c r="AA59" s="50">
        <v>674.6</v>
      </c>
      <c r="AB59" s="51">
        <v>90.207999999999998</v>
      </c>
      <c r="AC59" s="52">
        <f t="shared" si="1"/>
        <v>4.4754945808491695E-2</v>
      </c>
    </row>
    <row r="60" spans="1:106" ht="15" customHeight="1">
      <c r="A60" s="61"/>
      <c r="B60" s="42">
        <f t="shared" si="2"/>
        <v>641</v>
      </c>
      <c r="C60" s="568">
        <v>0.14299999999999999</v>
      </c>
      <c r="D60" s="565" t="str">
        <f t="shared" si="3"/>
        <v/>
      </c>
      <c r="E60" s="42">
        <f t="shared" si="4"/>
        <v>639</v>
      </c>
      <c r="F60" s="655">
        <v>0.14299999999999999</v>
      </c>
      <c r="G60" s="36" t="str">
        <f t="shared" si="5"/>
        <v/>
      </c>
      <c r="H60" s="35"/>
      <c r="I60" s="35"/>
      <c r="J60" s="35"/>
      <c r="K60" s="35"/>
      <c r="L60" s="35"/>
      <c r="M60" s="37"/>
      <c r="AA60" s="50">
        <v>674.5</v>
      </c>
      <c r="AB60" s="51">
        <v>90.12</v>
      </c>
      <c r="AC60" s="52">
        <f t="shared" si="1"/>
        <v>4.5178816948206781E-2</v>
      </c>
    </row>
    <row r="61" spans="1:106" ht="15" customHeight="1">
      <c r="A61" s="60"/>
      <c r="B61" s="42">
        <f t="shared" si="2"/>
        <v>640</v>
      </c>
      <c r="C61" s="568">
        <v>0.14899999999999999</v>
      </c>
      <c r="D61" s="565" t="str">
        <f t="shared" si="3"/>
        <v/>
      </c>
      <c r="E61" s="42">
        <f t="shared" si="4"/>
        <v>638.5</v>
      </c>
      <c r="F61" s="655">
        <v>0.14799999999999999</v>
      </c>
      <c r="G61" s="36" t="str">
        <f t="shared" si="5"/>
        <v/>
      </c>
      <c r="H61" s="35"/>
      <c r="I61" s="35"/>
      <c r="J61" s="35"/>
      <c r="K61" s="35"/>
      <c r="L61" s="35"/>
      <c r="M61" s="38"/>
      <c r="AA61" s="50">
        <v>674.4</v>
      </c>
      <c r="AB61" s="51">
        <v>90.102999999999994</v>
      </c>
      <c r="AC61" s="52">
        <f t="shared" si="1"/>
        <v>4.5260748846069461E-2</v>
      </c>
    </row>
    <row r="62" spans="1:106" ht="15" customHeight="1">
      <c r="A62" s="62"/>
      <c r="B62" s="42">
        <f t="shared" si="2"/>
        <v>639</v>
      </c>
      <c r="C62" s="568">
        <v>0.153</v>
      </c>
      <c r="D62" s="565">
        <f t="shared" si="3"/>
        <v>0.153</v>
      </c>
      <c r="E62" s="42">
        <f t="shared" si="4"/>
        <v>638</v>
      </c>
      <c r="F62" s="655">
        <v>0.152</v>
      </c>
      <c r="G62" s="36">
        <f t="shared" si="5"/>
        <v>0.152</v>
      </c>
      <c r="H62" s="35"/>
      <c r="I62" s="35"/>
      <c r="J62" s="35"/>
      <c r="K62" s="35"/>
      <c r="L62" s="35"/>
      <c r="M62" s="38"/>
      <c r="AA62" s="50">
        <v>674.3</v>
      </c>
      <c r="AB62" s="51">
        <v>90.03</v>
      </c>
      <c r="AC62" s="52">
        <f t="shared" si="1"/>
        <v>4.5612749855484941E-2</v>
      </c>
    </row>
    <row r="63" spans="1:106" ht="15" customHeight="1">
      <c r="A63" s="59" t="s">
        <v>337</v>
      </c>
      <c r="B63" s="42">
        <f>IF(ISNUMBER($G$45),B64+$G$45,"")</f>
        <v>638</v>
      </c>
      <c r="C63" s="568">
        <v>0.153</v>
      </c>
      <c r="D63" s="565">
        <f t="shared" si="3"/>
        <v>0.153</v>
      </c>
      <c r="E63" s="42">
        <f>IF(ISNUMBER($G$45),E64+$K$45,"")</f>
        <v>637.5</v>
      </c>
      <c r="F63" s="655">
        <v>0.152</v>
      </c>
      <c r="G63" s="36">
        <f t="shared" si="5"/>
        <v>0.152</v>
      </c>
      <c r="H63" s="35"/>
      <c r="I63" s="35"/>
      <c r="J63" s="35"/>
      <c r="K63" s="35"/>
      <c r="L63" s="35"/>
      <c r="M63" s="36"/>
      <c r="AA63" s="50">
        <v>674.2</v>
      </c>
      <c r="AB63" s="51">
        <v>90.072999999999993</v>
      </c>
      <c r="AC63" s="52">
        <f t="shared" si="1"/>
        <v>4.540537226514306E-2</v>
      </c>
    </row>
    <row r="64" spans="1:106" ht="15" customHeight="1">
      <c r="A64" s="45">
        <v>637.49</v>
      </c>
      <c r="B64" s="121">
        <v>637</v>
      </c>
      <c r="C64" s="568">
        <v>0.15</v>
      </c>
      <c r="D64" s="565" t="str">
        <f>IF(C64&lt;&gt;"",IF(C64 = LARGE($C$52:$C$76,1), C64, ""), "")</f>
        <v/>
      </c>
      <c r="E64" s="121">
        <v>637</v>
      </c>
      <c r="F64" s="655">
        <v>0.14799999999999999</v>
      </c>
      <c r="G64" s="36" t="str">
        <f>IF(F64 &lt;&gt;"", IF(F64 = LARGE($F$52:$F$76,1), F64, ""), "")</f>
        <v/>
      </c>
      <c r="H64" s="35"/>
      <c r="I64" s="35"/>
      <c r="J64" s="35"/>
      <c r="K64" s="35"/>
      <c r="L64" s="35"/>
      <c r="M64" s="35"/>
      <c r="AA64" s="50">
        <v>674.1</v>
      </c>
      <c r="AB64" s="51">
        <v>90.087000000000003</v>
      </c>
      <c r="AC64" s="52">
        <f t="shared" si="1"/>
        <v>4.5337875342864084E-2</v>
      </c>
    </row>
    <row r="65" spans="1:91" ht="15" customHeight="1">
      <c r="A65" s="60"/>
      <c r="B65" s="42">
        <f>IF(ISNUMBER($G$45),B64-$G$45,"")</f>
        <v>636</v>
      </c>
      <c r="C65" s="568">
        <v>0.14199999999999999</v>
      </c>
      <c r="D65" s="565" t="str">
        <f t="shared" ref="D65:D76" si="8">IF(C65&lt;&gt;"",IF(C65 = LARGE($C$52:$C$76,1), C65, ""), "")</f>
        <v/>
      </c>
      <c r="E65" s="42">
        <f>IF(ISNUMBER($G$45),E64-$K$45,"")</f>
        <v>636.5</v>
      </c>
      <c r="F65" s="655">
        <v>0.13900000000000001</v>
      </c>
      <c r="G65" s="36" t="str">
        <f t="shared" ref="G65:G76" si="9">IF(F65 &lt;&gt;"", IF(F65 = LARGE($F$52:$F$76,1), F65, ""), "")</f>
        <v/>
      </c>
      <c r="H65" s="35"/>
      <c r="I65" s="35"/>
      <c r="J65" s="35"/>
      <c r="K65" s="35"/>
      <c r="L65" s="35"/>
      <c r="M65" s="36"/>
      <c r="AA65" s="50">
        <v>674</v>
      </c>
      <c r="AB65" s="51">
        <v>90.088999999999999</v>
      </c>
      <c r="AC65" s="52">
        <f t="shared" si="1"/>
        <v>4.5328233781681264E-2</v>
      </c>
    </row>
    <row r="66" spans="1:91" ht="15" customHeight="1">
      <c r="A66" s="61"/>
      <c r="B66" s="42">
        <f t="shared" ref="B66:B76" si="10">IF(ISNUMBER($G$45),B65-$G$45,"")</f>
        <v>635</v>
      </c>
      <c r="C66" s="568">
        <v>0.13300000000000001</v>
      </c>
      <c r="D66" s="565" t="str">
        <f t="shared" si="8"/>
        <v/>
      </c>
      <c r="E66" s="42">
        <f t="shared" ref="E66:E76" si="11">IF(ISNUMBER($G$45),E65-$K$45,"")</f>
        <v>636</v>
      </c>
      <c r="F66" s="655">
        <v>0.129</v>
      </c>
      <c r="G66" s="36" t="str">
        <f t="shared" si="9"/>
        <v/>
      </c>
      <c r="H66" s="35"/>
      <c r="I66" s="35"/>
      <c r="J66" s="35"/>
      <c r="K66" s="35"/>
      <c r="L66" s="35"/>
      <c r="M66" s="35"/>
      <c r="AA66" s="50">
        <v>673.9</v>
      </c>
      <c r="AB66" s="51">
        <v>90.097999999999999</v>
      </c>
      <c r="AC66" s="52">
        <f t="shared" si="1"/>
        <v>4.5284849405001687E-2</v>
      </c>
    </row>
    <row r="67" spans="1:91" ht="15" customHeight="1">
      <c r="A67" s="60"/>
      <c r="B67" s="42">
        <f t="shared" si="10"/>
        <v>634</v>
      </c>
      <c r="C67" s="568">
        <v>0.121</v>
      </c>
      <c r="D67" s="565" t="str">
        <f t="shared" si="8"/>
        <v/>
      </c>
      <c r="E67" s="42">
        <f t="shared" si="11"/>
        <v>635.5</v>
      </c>
      <c r="F67" s="655">
        <v>0.11700000000000001</v>
      </c>
      <c r="G67" s="36" t="str">
        <f t="shared" si="9"/>
        <v/>
      </c>
      <c r="H67" s="35"/>
      <c r="I67" s="35"/>
      <c r="J67" s="35"/>
      <c r="K67" s="35"/>
      <c r="L67" s="35"/>
      <c r="M67" s="36"/>
      <c r="AA67" s="50">
        <v>673.8</v>
      </c>
      <c r="AB67" s="51">
        <v>90.004000000000005</v>
      </c>
      <c r="AC67" s="52">
        <f t="shared" si="1"/>
        <v>4.5738189012621729E-2</v>
      </c>
    </row>
    <row r="68" spans="1:91" ht="15" customHeight="1">
      <c r="A68" s="60"/>
      <c r="B68" s="42">
        <f t="shared" si="10"/>
        <v>633</v>
      </c>
      <c r="C68" s="568">
        <v>0.104</v>
      </c>
      <c r="D68" s="565" t="str">
        <f t="shared" si="8"/>
        <v/>
      </c>
      <c r="E68" s="42">
        <f t="shared" si="11"/>
        <v>635</v>
      </c>
      <c r="F68" s="656">
        <v>0.1</v>
      </c>
      <c r="G68" s="36" t="str">
        <f t="shared" si="9"/>
        <v/>
      </c>
      <c r="H68" s="35"/>
      <c r="I68" s="35"/>
      <c r="J68" s="35"/>
      <c r="K68" s="35"/>
      <c r="L68" s="35"/>
      <c r="M68" s="36"/>
      <c r="AA68" s="50">
        <v>673.7</v>
      </c>
      <c r="AB68" s="51">
        <v>90.03</v>
      </c>
      <c r="AC68" s="52">
        <f t="shared" si="1"/>
        <v>4.5612749855484941E-2</v>
      </c>
    </row>
    <row r="69" spans="1:91" ht="15" customHeight="1">
      <c r="A69" s="60"/>
      <c r="B69" s="42">
        <f t="shared" si="10"/>
        <v>632</v>
      </c>
      <c r="C69" s="569">
        <v>9.0999999999999998E-2</v>
      </c>
      <c r="D69" s="565" t="str">
        <f t="shared" si="8"/>
        <v/>
      </c>
      <c r="E69" s="42">
        <f t="shared" si="11"/>
        <v>634.5</v>
      </c>
      <c r="F69" s="655">
        <v>8.6999999999999994E-2</v>
      </c>
      <c r="G69" s="36" t="str">
        <f t="shared" si="9"/>
        <v/>
      </c>
      <c r="H69" s="35"/>
      <c r="I69" s="35"/>
      <c r="J69" s="35"/>
      <c r="K69" s="35"/>
      <c r="L69" s="35"/>
      <c r="M69" s="36"/>
      <c r="AA69" s="50">
        <v>673.6</v>
      </c>
      <c r="AB69" s="51">
        <v>89.988</v>
      </c>
      <c r="AC69" s="52">
        <f t="shared" si="1"/>
        <v>4.5815400352334126E-2</v>
      </c>
    </row>
    <row r="70" spans="1:91" ht="15" customHeight="1">
      <c r="A70" s="590" t="s">
        <v>351</v>
      </c>
      <c r="B70" s="42">
        <f t="shared" si="10"/>
        <v>631</v>
      </c>
      <c r="C70" s="569">
        <v>7.9000000000000001E-2</v>
      </c>
      <c r="D70" s="565" t="str">
        <f t="shared" si="8"/>
        <v/>
      </c>
      <c r="E70" s="42">
        <f t="shared" si="11"/>
        <v>634</v>
      </c>
      <c r="F70" s="655">
        <v>7.5999999999999998E-2</v>
      </c>
      <c r="G70" s="36" t="str">
        <f t="shared" si="9"/>
        <v/>
      </c>
      <c r="H70" s="35"/>
      <c r="I70" s="35"/>
      <c r="J70" s="35"/>
      <c r="K70" s="35"/>
      <c r="L70" s="35"/>
      <c r="M70" s="36"/>
      <c r="AA70" s="50">
        <v>673.5</v>
      </c>
      <c r="AB70" s="51">
        <v>90.096999999999994</v>
      </c>
      <c r="AC70" s="52">
        <f t="shared" si="1"/>
        <v>4.5289669677283498E-2</v>
      </c>
    </row>
    <row r="71" spans="1:91" ht="15" customHeight="1">
      <c r="A71" s="60"/>
      <c r="B71" s="42">
        <f t="shared" si="10"/>
        <v>630</v>
      </c>
      <c r="C71" s="569"/>
      <c r="D71" s="565" t="str">
        <f t="shared" si="8"/>
        <v/>
      </c>
      <c r="E71" s="42">
        <f t="shared" si="11"/>
        <v>633.5</v>
      </c>
      <c r="F71" s="655">
        <v>6.6000000000000003E-2</v>
      </c>
      <c r="G71" s="36" t="str">
        <f t="shared" si="9"/>
        <v/>
      </c>
      <c r="H71" s="35"/>
      <c r="I71" s="35"/>
      <c r="J71" s="35"/>
      <c r="K71" s="35"/>
      <c r="L71" s="35"/>
      <c r="M71" s="36"/>
      <c r="AA71" s="50">
        <v>673.4</v>
      </c>
      <c r="AB71" s="51">
        <v>90.07</v>
      </c>
      <c r="AC71" s="52">
        <f t="shared" si="1"/>
        <v>4.5419837256242677E-2</v>
      </c>
    </row>
    <row r="72" spans="1:91" ht="15" customHeight="1">
      <c r="A72" s="60"/>
      <c r="B72" s="42">
        <f t="shared" si="10"/>
        <v>629</v>
      </c>
      <c r="C72" s="569"/>
      <c r="D72" s="565" t="str">
        <f t="shared" si="8"/>
        <v/>
      </c>
      <c r="E72" s="42">
        <f t="shared" si="11"/>
        <v>633</v>
      </c>
      <c r="F72" s="655"/>
      <c r="G72" s="36" t="str">
        <f t="shared" si="9"/>
        <v/>
      </c>
      <c r="H72" s="35"/>
      <c r="I72" s="35"/>
      <c r="J72" s="35"/>
      <c r="K72" s="35"/>
      <c r="L72" s="35"/>
      <c r="M72" s="36"/>
      <c r="AA72" s="50">
        <v>673.3</v>
      </c>
      <c r="AB72" s="51">
        <v>90.016999999999996</v>
      </c>
      <c r="AC72" s="52">
        <f t="shared" si="1"/>
        <v>4.5675464905161493E-2</v>
      </c>
    </row>
    <row r="73" spans="1:91" ht="15" customHeight="1">
      <c r="A73" s="60"/>
      <c r="B73" s="42">
        <f t="shared" si="10"/>
        <v>628</v>
      </c>
      <c r="C73" s="569"/>
      <c r="D73" s="565" t="str">
        <f t="shared" si="8"/>
        <v/>
      </c>
      <c r="E73" s="42">
        <f t="shared" si="11"/>
        <v>632.5</v>
      </c>
      <c r="F73" s="655"/>
      <c r="G73" s="36" t="str">
        <f t="shared" si="9"/>
        <v/>
      </c>
      <c r="H73" s="35"/>
      <c r="I73" s="35"/>
      <c r="J73" s="35"/>
      <c r="K73" s="35"/>
      <c r="L73" s="35"/>
      <c r="M73" s="36"/>
      <c r="AA73" s="50">
        <v>673.2</v>
      </c>
      <c r="AB73" s="51">
        <v>89.951999999999998</v>
      </c>
      <c r="AC73" s="52">
        <f t="shared" si="1"/>
        <v>4.5989176072653327E-2</v>
      </c>
    </row>
    <row r="74" spans="1:91" ht="15" customHeight="1">
      <c r="A74" s="60"/>
      <c r="B74" s="42">
        <f t="shared" si="10"/>
        <v>627</v>
      </c>
      <c r="C74" s="569"/>
      <c r="D74" s="565" t="str">
        <f t="shared" si="8"/>
        <v/>
      </c>
      <c r="E74" s="42">
        <f t="shared" si="11"/>
        <v>632</v>
      </c>
      <c r="F74" s="655"/>
      <c r="G74" s="36" t="str">
        <f t="shared" si="9"/>
        <v/>
      </c>
      <c r="H74" s="35"/>
      <c r="I74" s="35"/>
      <c r="J74" s="35"/>
      <c r="K74" s="35"/>
      <c r="L74" s="35"/>
      <c r="M74" s="36"/>
      <c r="AA74" s="50">
        <v>673.1</v>
      </c>
      <c r="AB74" s="51">
        <v>89.918999999999997</v>
      </c>
      <c r="AC74" s="52">
        <f t="shared" ref="AC74:AC137" si="12">-LOG(AB74/100)</f>
        <v>4.61485315892581E-2</v>
      </c>
    </row>
    <row r="75" spans="1:91" ht="15" customHeight="1">
      <c r="A75" s="61"/>
      <c r="B75" s="42">
        <f t="shared" si="10"/>
        <v>626</v>
      </c>
      <c r="C75" s="569"/>
      <c r="D75" s="565" t="str">
        <f t="shared" si="8"/>
        <v/>
      </c>
      <c r="E75" s="42">
        <f t="shared" si="11"/>
        <v>631.5</v>
      </c>
      <c r="F75" s="655"/>
      <c r="G75" s="36" t="str">
        <f t="shared" si="9"/>
        <v/>
      </c>
      <c r="H75" s="35"/>
      <c r="I75" s="35"/>
      <c r="J75" s="35"/>
      <c r="K75" s="35"/>
      <c r="L75" s="35"/>
      <c r="M75" s="35"/>
      <c r="AA75" s="50">
        <v>673</v>
      </c>
      <c r="AB75" s="51">
        <v>89.938000000000002</v>
      </c>
      <c r="AC75" s="52">
        <f t="shared" si="12"/>
        <v>4.6056774302226038E-2</v>
      </c>
    </row>
    <row r="76" spans="1:91" ht="15" customHeight="1" thickBot="1">
      <c r="A76" s="43"/>
      <c r="B76" s="47">
        <f t="shared" si="10"/>
        <v>625</v>
      </c>
      <c r="C76" s="570"/>
      <c r="D76" s="565" t="str">
        <f t="shared" si="8"/>
        <v/>
      </c>
      <c r="E76" s="47">
        <f t="shared" si="11"/>
        <v>631</v>
      </c>
      <c r="F76" s="661"/>
      <c r="G76" s="571" t="str">
        <f t="shared" si="9"/>
        <v/>
      </c>
      <c r="H76" s="35"/>
      <c r="I76" s="35"/>
      <c r="J76" s="35"/>
      <c r="K76" s="35"/>
      <c r="L76" s="35"/>
      <c r="M76" s="36"/>
      <c r="S76" s="22"/>
      <c r="T76" s="22"/>
      <c r="U76" s="22"/>
      <c r="AA76" s="50">
        <v>672.9</v>
      </c>
      <c r="AB76" s="51">
        <v>89.94</v>
      </c>
      <c r="AC76" s="52">
        <f t="shared" si="12"/>
        <v>4.6047116768076914E-2</v>
      </c>
    </row>
    <row r="77" spans="1:91" ht="15" customHeight="1" thickTop="1">
      <c r="A77" s="61"/>
      <c r="B77" s="44">
        <f t="shared" ref="B77:B87" si="13">IF(ISNUMBER($G$45),B78+$G$45,"")</f>
        <v>549</v>
      </c>
      <c r="C77" s="567"/>
      <c r="D77" s="586" t="str">
        <f t="shared" ref="D77:D88" si="14">IF(C77&lt;&gt;"",IF(C77 = LARGE($C$77:$C$101,1), C77, ""), "")</f>
        <v/>
      </c>
      <c r="E77" s="42">
        <f t="shared" ref="E77:E87" si="15">IF(ISNUMBER($G$45),E78+$K$45,"")</f>
        <v>543</v>
      </c>
      <c r="F77" s="660"/>
      <c r="G77" s="36" t="str">
        <f t="shared" ref="G77:G88" si="16">IF(F77 &lt;&gt;"", IF(F77 = LARGE($F$77:$F$101,1), F77, ""), "")</f>
        <v/>
      </c>
      <c r="H77" s="35"/>
      <c r="I77" s="35"/>
      <c r="J77" s="35"/>
      <c r="K77" s="35"/>
      <c r="L77" s="35"/>
      <c r="M77" s="39"/>
      <c r="S77" s="22"/>
      <c r="T77" s="22"/>
      <c r="U77" s="22"/>
      <c r="AA77" s="50">
        <v>672.8</v>
      </c>
      <c r="AB77" s="51">
        <v>89.944000000000003</v>
      </c>
      <c r="AC77" s="52">
        <f t="shared" si="12"/>
        <v>4.6027802344026959E-2</v>
      </c>
    </row>
    <row r="78" spans="1:91" ht="15" customHeight="1" thickBot="1">
      <c r="A78" s="61"/>
      <c r="B78" s="42">
        <f t="shared" si="13"/>
        <v>548</v>
      </c>
      <c r="C78" s="568"/>
      <c r="D78" s="565" t="str">
        <f t="shared" si="14"/>
        <v/>
      </c>
      <c r="E78" s="42">
        <f t="shared" si="15"/>
        <v>542.5</v>
      </c>
      <c r="F78" s="655"/>
      <c r="G78" s="36" t="str">
        <f t="shared" si="16"/>
        <v/>
      </c>
      <c r="H78" s="35"/>
      <c r="I78" s="35"/>
      <c r="J78" s="35"/>
      <c r="K78" s="35"/>
      <c r="L78" s="35"/>
      <c r="M78" s="39"/>
      <c r="S78" s="22"/>
      <c r="T78" s="22"/>
      <c r="U78" s="589" t="s">
        <v>338</v>
      </c>
      <c r="AA78" s="50">
        <v>672.7</v>
      </c>
      <c r="AB78" s="51">
        <v>89.936999999999998</v>
      </c>
      <c r="AC78" s="52">
        <f t="shared" si="12"/>
        <v>4.6061603149835886E-2</v>
      </c>
    </row>
    <row r="79" spans="1:91" ht="15" customHeight="1">
      <c r="A79" s="61"/>
      <c r="B79" s="42">
        <f t="shared" si="13"/>
        <v>547</v>
      </c>
      <c r="C79" s="568"/>
      <c r="D79" s="565" t="str">
        <f t="shared" si="14"/>
        <v/>
      </c>
      <c r="E79" s="42">
        <f t="shared" si="15"/>
        <v>542</v>
      </c>
      <c r="F79" s="655"/>
      <c r="G79" s="36" t="str">
        <f t="shared" si="16"/>
        <v/>
      </c>
      <c r="H79" s="35"/>
      <c r="I79" s="35"/>
      <c r="J79" s="35"/>
      <c r="K79" s="35"/>
      <c r="L79" s="35"/>
      <c r="M79" s="39"/>
      <c r="S79" s="22"/>
      <c r="T79" s="22"/>
      <c r="U79" s="103" t="s">
        <v>88</v>
      </c>
      <c r="V79" s="104" t="s">
        <v>89</v>
      </c>
      <c r="W79" s="105" t="s">
        <v>90</v>
      </c>
      <c r="X79" s="104" t="s">
        <v>91</v>
      </c>
      <c r="Y79" s="106" t="s">
        <v>96</v>
      </c>
      <c r="AA79" s="50">
        <v>672.6</v>
      </c>
      <c r="AB79" s="51">
        <v>89.926000000000002</v>
      </c>
      <c r="AC79" s="52">
        <f t="shared" si="12"/>
        <v>4.6114724017461681E-2</v>
      </c>
      <c r="AD79" s="746" t="s">
        <v>95</v>
      </c>
      <c r="AE79" s="53">
        <v>530.4</v>
      </c>
      <c r="AF79" s="53">
        <f t="shared" ref="AF79:CM79" si="17">AE79+0.2</f>
        <v>530.6</v>
      </c>
      <c r="AG79" s="53">
        <f t="shared" si="17"/>
        <v>530.80000000000007</v>
      </c>
      <c r="AH79" s="53">
        <f t="shared" si="17"/>
        <v>531.00000000000011</v>
      </c>
      <c r="AI79" s="53">
        <f t="shared" si="17"/>
        <v>531.20000000000016</v>
      </c>
      <c r="AJ79" s="53">
        <f t="shared" si="17"/>
        <v>531.4000000000002</v>
      </c>
      <c r="AK79" s="53">
        <f t="shared" si="17"/>
        <v>531.60000000000025</v>
      </c>
      <c r="AL79" s="53">
        <f t="shared" si="17"/>
        <v>531.8000000000003</v>
      </c>
      <c r="AM79" s="53">
        <f t="shared" si="17"/>
        <v>532.00000000000034</v>
      </c>
      <c r="AN79" s="53">
        <f t="shared" si="17"/>
        <v>532.20000000000039</v>
      </c>
      <c r="AO79" s="53">
        <f t="shared" si="17"/>
        <v>532.40000000000043</v>
      </c>
      <c r="AP79" s="53">
        <f t="shared" si="17"/>
        <v>532.60000000000048</v>
      </c>
      <c r="AQ79" s="53">
        <f t="shared" si="17"/>
        <v>532.80000000000052</v>
      </c>
      <c r="AR79" s="53">
        <f t="shared" si="17"/>
        <v>533.00000000000057</v>
      </c>
      <c r="AS79" s="53">
        <f t="shared" si="17"/>
        <v>533.20000000000061</v>
      </c>
      <c r="AT79" s="53">
        <f t="shared" si="17"/>
        <v>533.40000000000066</v>
      </c>
      <c r="AU79" s="53">
        <f t="shared" si="17"/>
        <v>533.6000000000007</v>
      </c>
      <c r="AV79" s="53">
        <f t="shared" si="17"/>
        <v>533.80000000000075</v>
      </c>
      <c r="AW79" s="53">
        <f t="shared" si="17"/>
        <v>534.0000000000008</v>
      </c>
      <c r="AX79" s="53">
        <f t="shared" si="17"/>
        <v>534.20000000000084</v>
      </c>
      <c r="AY79" s="53">
        <f t="shared" si="17"/>
        <v>534.40000000000089</v>
      </c>
      <c r="AZ79" s="53">
        <f t="shared" si="17"/>
        <v>534.60000000000093</v>
      </c>
      <c r="BA79" s="53">
        <f t="shared" si="17"/>
        <v>534.80000000000098</v>
      </c>
      <c r="BB79" s="53">
        <f t="shared" si="17"/>
        <v>535.00000000000102</v>
      </c>
      <c r="BC79" s="53">
        <f t="shared" si="17"/>
        <v>535.20000000000107</v>
      </c>
      <c r="BD79" s="53">
        <f t="shared" si="17"/>
        <v>535.40000000000111</v>
      </c>
      <c r="BE79" s="53">
        <f t="shared" si="17"/>
        <v>535.60000000000116</v>
      </c>
      <c r="BF79" s="53">
        <f t="shared" si="17"/>
        <v>535.80000000000121</v>
      </c>
      <c r="BG79" s="53">
        <f t="shared" si="17"/>
        <v>536.00000000000125</v>
      </c>
      <c r="BH79" s="53">
        <f t="shared" si="17"/>
        <v>536.2000000000013</v>
      </c>
      <c r="BI79" s="53">
        <f t="shared" si="17"/>
        <v>536.40000000000134</v>
      </c>
      <c r="BJ79" s="53">
        <f t="shared" si="17"/>
        <v>536.60000000000139</v>
      </c>
      <c r="BK79" s="53">
        <f t="shared" si="17"/>
        <v>536.80000000000143</v>
      </c>
      <c r="BL79" s="53">
        <f t="shared" si="17"/>
        <v>537.00000000000148</v>
      </c>
      <c r="BM79" s="53">
        <f t="shared" si="17"/>
        <v>537.20000000000152</v>
      </c>
      <c r="BN79" s="53">
        <f t="shared" si="17"/>
        <v>537.40000000000157</v>
      </c>
      <c r="BO79" s="53">
        <f t="shared" si="17"/>
        <v>537.60000000000161</v>
      </c>
      <c r="BP79" s="53">
        <f t="shared" si="17"/>
        <v>537.80000000000166</v>
      </c>
      <c r="BQ79" s="53">
        <f t="shared" si="17"/>
        <v>538.00000000000171</v>
      </c>
      <c r="BR79" s="53">
        <f t="shared" si="17"/>
        <v>538.20000000000175</v>
      </c>
      <c r="BS79" s="53">
        <f t="shared" si="17"/>
        <v>538.4000000000018</v>
      </c>
      <c r="BT79" s="53">
        <f t="shared" si="17"/>
        <v>538.60000000000184</v>
      </c>
      <c r="BU79" s="53">
        <f t="shared" si="17"/>
        <v>538.80000000000189</v>
      </c>
      <c r="BV79" s="53">
        <f t="shared" si="17"/>
        <v>539.00000000000193</v>
      </c>
      <c r="BW79" s="53">
        <f t="shared" si="17"/>
        <v>539.20000000000198</v>
      </c>
      <c r="BX79" s="53">
        <f t="shared" si="17"/>
        <v>539.40000000000202</v>
      </c>
      <c r="BY79" s="53">
        <f t="shared" si="17"/>
        <v>539.60000000000207</v>
      </c>
      <c r="BZ79" s="53">
        <f t="shared" si="17"/>
        <v>539.80000000000211</v>
      </c>
      <c r="CA79" s="53">
        <f t="shared" si="17"/>
        <v>540.00000000000216</v>
      </c>
      <c r="CB79" s="53">
        <f t="shared" si="17"/>
        <v>540.20000000000221</v>
      </c>
      <c r="CC79" s="53">
        <f t="shared" si="17"/>
        <v>540.40000000000225</v>
      </c>
      <c r="CD79" s="53">
        <f t="shared" si="17"/>
        <v>540.6000000000023</v>
      </c>
      <c r="CE79" s="53">
        <f t="shared" si="17"/>
        <v>540.80000000000234</v>
      </c>
      <c r="CF79" s="53">
        <f t="shared" si="17"/>
        <v>541.00000000000239</v>
      </c>
      <c r="CG79" s="53">
        <f t="shared" si="17"/>
        <v>541.20000000000243</v>
      </c>
      <c r="CH79" s="53">
        <f t="shared" si="17"/>
        <v>541.40000000000248</v>
      </c>
      <c r="CI79" s="53">
        <f t="shared" si="17"/>
        <v>541.60000000000252</v>
      </c>
      <c r="CJ79" s="53">
        <f t="shared" si="17"/>
        <v>541.80000000000257</v>
      </c>
      <c r="CK79" s="53">
        <f t="shared" si="17"/>
        <v>542.00000000000261</v>
      </c>
      <c r="CL79" s="53">
        <f t="shared" si="17"/>
        <v>542.20000000000266</v>
      </c>
      <c r="CM79" s="53">
        <f t="shared" si="17"/>
        <v>542.40000000000271</v>
      </c>
    </row>
    <row r="80" spans="1:91" ht="15" customHeight="1" thickBot="1">
      <c r="A80" s="61"/>
      <c r="B80" s="42">
        <f t="shared" si="13"/>
        <v>546</v>
      </c>
      <c r="C80" s="568"/>
      <c r="D80" s="565" t="str">
        <f t="shared" si="14"/>
        <v/>
      </c>
      <c r="E80" s="42">
        <f t="shared" si="15"/>
        <v>541.5</v>
      </c>
      <c r="F80" s="655"/>
      <c r="G80" s="36" t="str">
        <f t="shared" si="16"/>
        <v/>
      </c>
      <c r="H80" s="35"/>
      <c r="I80" s="35"/>
      <c r="J80" s="35"/>
      <c r="K80" s="35"/>
      <c r="L80" s="35"/>
      <c r="M80" s="39"/>
      <c r="S80" s="22"/>
      <c r="T80" s="22"/>
      <c r="U80" s="114">
        <v>542.4</v>
      </c>
      <c r="V80" s="116">
        <v>0.16200000000000001</v>
      </c>
      <c r="W80" s="115">
        <v>536.4</v>
      </c>
      <c r="X80" s="116">
        <v>0.4143</v>
      </c>
      <c r="Y80" s="107">
        <f>(V80 + X80)/2</f>
        <v>0.28815000000000002</v>
      </c>
      <c r="AA80" s="50">
        <v>672.5</v>
      </c>
      <c r="AB80" s="51">
        <v>89.932000000000002</v>
      </c>
      <c r="AC80" s="52">
        <f t="shared" si="12"/>
        <v>4.6085748193285009E-2</v>
      </c>
      <c r="AD80" s="746"/>
      <c r="AE80" s="52">
        <f>$Y80</f>
        <v>0.28815000000000002</v>
      </c>
      <c r="AF80" s="53">
        <f t="shared" ref="AF80:CM80" si="18">AE80</f>
        <v>0.28815000000000002</v>
      </c>
      <c r="AG80" s="53">
        <f t="shared" si="18"/>
        <v>0.28815000000000002</v>
      </c>
      <c r="AH80" s="53">
        <f t="shared" si="18"/>
        <v>0.28815000000000002</v>
      </c>
      <c r="AI80" s="53">
        <f t="shared" si="18"/>
        <v>0.28815000000000002</v>
      </c>
      <c r="AJ80" s="53">
        <f t="shared" si="18"/>
        <v>0.28815000000000002</v>
      </c>
      <c r="AK80" s="53">
        <f t="shared" si="18"/>
        <v>0.28815000000000002</v>
      </c>
      <c r="AL80" s="53">
        <f t="shared" si="18"/>
        <v>0.28815000000000002</v>
      </c>
      <c r="AM80" s="53">
        <f t="shared" si="18"/>
        <v>0.28815000000000002</v>
      </c>
      <c r="AN80" s="53">
        <f t="shared" si="18"/>
        <v>0.28815000000000002</v>
      </c>
      <c r="AO80" s="53">
        <f t="shared" si="18"/>
        <v>0.28815000000000002</v>
      </c>
      <c r="AP80" s="53">
        <f t="shared" si="18"/>
        <v>0.28815000000000002</v>
      </c>
      <c r="AQ80" s="53">
        <f t="shared" si="18"/>
        <v>0.28815000000000002</v>
      </c>
      <c r="AR80" s="53">
        <f t="shared" si="18"/>
        <v>0.28815000000000002</v>
      </c>
      <c r="AS80" s="53">
        <f t="shared" si="18"/>
        <v>0.28815000000000002</v>
      </c>
      <c r="AT80" s="53">
        <f t="shared" si="18"/>
        <v>0.28815000000000002</v>
      </c>
      <c r="AU80" s="53">
        <f t="shared" si="18"/>
        <v>0.28815000000000002</v>
      </c>
      <c r="AV80" s="53">
        <f t="shared" si="18"/>
        <v>0.28815000000000002</v>
      </c>
      <c r="AW80" s="53">
        <f t="shared" si="18"/>
        <v>0.28815000000000002</v>
      </c>
      <c r="AX80" s="53">
        <f t="shared" si="18"/>
        <v>0.28815000000000002</v>
      </c>
      <c r="AY80" s="53">
        <f t="shared" si="18"/>
        <v>0.28815000000000002</v>
      </c>
      <c r="AZ80" s="53">
        <f t="shared" si="18"/>
        <v>0.28815000000000002</v>
      </c>
      <c r="BA80" s="53">
        <f t="shared" si="18"/>
        <v>0.28815000000000002</v>
      </c>
      <c r="BB80" s="53">
        <f t="shared" si="18"/>
        <v>0.28815000000000002</v>
      </c>
      <c r="BC80" s="53">
        <f t="shared" si="18"/>
        <v>0.28815000000000002</v>
      </c>
      <c r="BD80" s="53">
        <f t="shared" si="18"/>
        <v>0.28815000000000002</v>
      </c>
      <c r="BE80" s="53">
        <f t="shared" si="18"/>
        <v>0.28815000000000002</v>
      </c>
      <c r="BF80" s="53">
        <f t="shared" si="18"/>
        <v>0.28815000000000002</v>
      </c>
      <c r="BG80" s="53">
        <f t="shared" si="18"/>
        <v>0.28815000000000002</v>
      </c>
      <c r="BH80" s="53">
        <f t="shared" si="18"/>
        <v>0.28815000000000002</v>
      </c>
      <c r="BI80" s="53">
        <f t="shared" si="18"/>
        <v>0.28815000000000002</v>
      </c>
      <c r="BJ80" s="53">
        <f t="shared" si="18"/>
        <v>0.28815000000000002</v>
      </c>
      <c r="BK80" s="53">
        <f t="shared" si="18"/>
        <v>0.28815000000000002</v>
      </c>
      <c r="BL80" s="53">
        <f t="shared" si="18"/>
        <v>0.28815000000000002</v>
      </c>
      <c r="BM80" s="53">
        <f t="shared" si="18"/>
        <v>0.28815000000000002</v>
      </c>
      <c r="BN80" s="53">
        <f t="shared" si="18"/>
        <v>0.28815000000000002</v>
      </c>
      <c r="BO80" s="53">
        <f t="shared" si="18"/>
        <v>0.28815000000000002</v>
      </c>
      <c r="BP80" s="53">
        <f t="shared" si="18"/>
        <v>0.28815000000000002</v>
      </c>
      <c r="BQ80" s="53">
        <f t="shared" si="18"/>
        <v>0.28815000000000002</v>
      </c>
      <c r="BR80" s="53">
        <f t="shared" si="18"/>
        <v>0.28815000000000002</v>
      </c>
      <c r="BS80" s="53">
        <f t="shared" si="18"/>
        <v>0.28815000000000002</v>
      </c>
      <c r="BT80" s="53">
        <f t="shared" si="18"/>
        <v>0.28815000000000002</v>
      </c>
      <c r="BU80" s="53">
        <f t="shared" si="18"/>
        <v>0.28815000000000002</v>
      </c>
      <c r="BV80" s="53">
        <f t="shared" si="18"/>
        <v>0.28815000000000002</v>
      </c>
      <c r="BW80" s="53">
        <f t="shared" si="18"/>
        <v>0.28815000000000002</v>
      </c>
      <c r="BX80" s="53">
        <f t="shared" si="18"/>
        <v>0.28815000000000002</v>
      </c>
      <c r="BY80" s="53">
        <f t="shared" si="18"/>
        <v>0.28815000000000002</v>
      </c>
      <c r="BZ80" s="53">
        <f t="shared" si="18"/>
        <v>0.28815000000000002</v>
      </c>
      <c r="CA80" s="53">
        <f t="shared" si="18"/>
        <v>0.28815000000000002</v>
      </c>
      <c r="CB80" s="53">
        <f t="shared" si="18"/>
        <v>0.28815000000000002</v>
      </c>
      <c r="CC80" s="53">
        <f t="shared" si="18"/>
        <v>0.28815000000000002</v>
      </c>
      <c r="CD80" s="53">
        <f t="shared" si="18"/>
        <v>0.28815000000000002</v>
      </c>
      <c r="CE80" s="53">
        <f t="shared" si="18"/>
        <v>0.28815000000000002</v>
      </c>
      <c r="CF80" s="53">
        <f t="shared" si="18"/>
        <v>0.28815000000000002</v>
      </c>
      <c r="CG80" s="53">
        <f t="shared" si="18"/>
        <v>0.28815000000000002</v>
      </c>
      <c r="CH80" s="53">
        <f t="shared" si="18"/>
        <v>0.28815000000000002</v>
      </c>
      <c r="CI80" s="53">
        <f t="shared" si="18"/>
        <v>0.28815000000000002</v>
      </c>
      <c r="CJ80" s="53">
        <f t="shared" si="18"/>
        <v>0.28815000000000002</v>
      </c>
      <c r="CK80" s="53">
        <f t="shared" si="18"/>
        <v>0.28815000000000002</v>
      </c>
      <c r="CL80" s="53">
        <f t="shared" si="18"/>
        <v>0.28815000000000002</v>
      </c>
      <c r="CM80" s="53">
        <f t="shared" si="18"/>
        <v>0.28815000000000002</v>
      </c>
    </row>
    <row r="81" spans="1:29" ht="15" customHeight="1">
      <c r="A81" s="61"/>
      <c r="B81" s="42">
        <f t="shared" si="13"/>
        <v>545</v>
      </c>
      <c r="C81" s="568"/>
      <c r="D81" s="565" t="str">
        <f t="shared" si="14"/>
        <v/>
      </c>
      <c r="E81" s="42">
        <f t="shared" si="15"/>
        <v>541</v>
      </c>
      <c r="F81" s="655"/>
      <c r="G81" s="36" t="str">
        <f t="shared" si="16"/>
        <v/>
      </c>
      <c r="H81" s="35"/>
      <c r="I81" s="35"/>
      <c r="J81" s="35"/>
      <c r="K81" s="35"/>
      <c r="L81" s="35"/>
      <c r="M81" s="39"/>
      <c r="S81" s="22"/>
      <c r="T81" s="22"/>
      <c r="AA81" s="50">
        <v>672.4</v>
      </c>
      <c r="AB81" s="51">
        <v>89.855000000000004</v>
      </c>
      <c r="AC81" s="52">
        <f t="shared" si="12"/>
        <v>4.6457751476628041E-2</v>
      </c>
    </row>
    <row r="82" spans="1:29" ht="15" customHeight="1" thickBot="1">
      <c r="A82" s="61"/>
      <c r="B82" s="42">
        <f t="shared" si="13"/>
        <v>544</v>
      </c>
      <c r="C82" s="568">
        <v>0.14099999999999999</v>
      </c>
      <c r="D82" s="565" t="str">
        <f t="shared" si="14"/>
        <v/>
      </c>
      <c r="E82" s="42">
        <f t="shared" si="15"/>
        <v>540.5</v>
      </c>
      <c r="F82" s="655">
        <v>0.14299999999999999</v>
      </c>
      <c r="G82" s="36" t="str">
        <f t="shared" si="16"/>
        <v/>
      </c>
      <c r="H82" s="35"/>
      <c r="I82" s="35"/>
      <c r="J82" s="35"/>
      <c r="K82" s="35"/>
      <c r="L82" s="35"/>
      <c r="M82" s="39"/>
      <c r="S82" s="22"/>
      <c r="T82" s="22"/>
      <c r="AA82" s="50">
        <v>672.3</v>
      </c>
      <c r="AB82" s="51">
        <v>89.834000000000003</v>
      </c>
      <c r="AC82" s="52">
        <f t="shared" si="12"/>
        <v>4.6559262244248674E-2</v>
      </c>
    </row>
    <row r="83" spans="1:29" ht="15" customHeight="1">
      <c r="A83" s="590" t="s">
        <v>352</v>
      </c>
      <c r="B83" s="42">
        <f t="shared" si="13"/>
        <v>543</v>
      </c>
      <c r="C83" s="568">
        <v>0.151</v>
      </c>
      <c r="D83" s="565" t="str">
        <f t="shared" si="14"/>
        <v/>
      </c>
      <c r="E83" s="42">
        <f t="shared" si="15"/>
        <v>540</v>
      </c>
      <c r="F83" s="655">
        <v>0.154</v>
      </c>
      <c r="G83" s="36" t="str">
        <f t="shared" si="16"/>
        <v/>
      </c>
      <c r="H83" s="35"/>
      <c r="I83" s="35"/>
      <c r="J83" s="35"/>
      <c r="K83" s="35"/>
      <c r="L83" s="35"/>
      <c r="M83" s="39"/>
      <c r="S83" s="22"/>
      <c r="T83" s="22"/>
      <c r="U83" s="95" t="s">
        <v>87</v>
      </c>
      <c r="V83" s="96">
        <f>X84 - X83</f>
        <v>5.1999999999999318</v>
      </c>
      <c r="W83" s="97" t="s">
        <v>92</v>
      </c>
      <c r="X83" s="117">
        <v>534.20000000000005</v>
      </c>
      <c r="Y83" s="98" t="s">
        <v>53</v>
      </c>
      <c r="AA83" s="50">
        <v>672.2</v>
      </c>
      <c r="AB83" s="51">
        <v>89.831000000000003</v>
      </c>
      <c r="AC83" s="52">
        <f t="shared" si="12"/>
        <v>4.6573765719559165E-2</v>
      </c>
    </row>
    <row r="84" spans="1:29" ht="15" customHeight="1" thickBot="1">
      <c r="A84" s="61"/>
      <c r="B84" s="42">
        <f t="shared" si="13"/>
        <v>542</v>
      </c>
      <c r="C84" s="568">
        <v>0.16600000000000001</v>
      </c>
      <c r="D84" s="565" t="str">
        <f t="shared" si="14"/>
        <v/>
      </c>
      <c r="E84" s="42">
        <f t="shared" si="15"/>
        <v>539.5</v>
      </c>
      <c r="F84" s="655">
        <v>0.17</v>
      </c>
      <c r="G84" s="36" t="str">
        <f t="shared" si="16"/>
        <v/>
      </c>
      <c r="H84" s="35"/>
      <c r="I84" s="35"/>
      <c r="J84" s="35"/>
      <c r="K84" s="35"/>
      <c r="L84" s="35"/>
      <c r="M84" s="39"/>
      <c r="S84" s="22"/>
      <c r="T84" s="22"/>
      <c r="U84" s="99" t="s">
        <v>93</v>
      </c>
      <c r="V84" s="100">
        <f>X80 - Y80</f>
        <v>0.12614999999999998</v>
      </c>
      <c r="W84" s="101" t="s">
        <v>94</v>
      </c>
      <c r="X84" s="118">
        <v>539.4</v>
      </c>
      <c r="Y84" s="102" t="s">
        <v>53</v>
      </c>
      <c r="AA84" s="50">
        <v>672.1</v>
      </c>
      <c r="AB84" s="51">
        <v>89.802000000000007</v>
      </c>
      <c r="AC84" s="52">
        <f t="shared" si="12"/>
        <v>4.6713990957512233E-2</v>
      </c>
    </row>
    <row r="85" spans="1:29" ht="15" customHeight="1">
      <c r="A85" s="60"/>
      <c r="B85" s="42">
        <f t="shared" si="13"/>
        <v>541</v>
      </c>
      <c r="C85" s="569">
        <v>0.193</v>
      </c>
      <c r="D85" s="565" t="str">
        <f t="shared" si="14"/>
        <v/>
      </c>
      <c r="E85" s="42">
        <f t="shared" si="15"/>
        <v>539</v>
      </c>
      <c r="F85" s="655">
        <v>0.2</v>
      </c>
      <c r="G85" s="36" t="str">
        <f t="shared" si="16"/>
        <v/>
      </c>
      <c r="H85" s="35"/>
      <c r="I85" s="35"/>
      <c r="J85" s="35"/>
      <c r="K85" s="35"/>
      <c r="L85" s="35"/>
      <c r="M85" s="40"/>
      <c r="S85" s="36"/>
      <c r="T85" s="22"/>
      <c r="U85" s="22"/>
      <c r="AA85" s="50">
        <v>672</v>
      </c>
      <c r="AB85" s="51">
        <v>89.736000000000004</v>
      </c>
      <c r="AC85" s="52">
        <f t="shared" si="12"/>
        <v>4.7033293134174342E-2</v>
      </c>
    </row>
    <row r="86" spans="1:29" ht="15" customHeight="1">
      <c r="A86" s="63"/>
      <c r="B86" s="42">
        <f t="shared" si="13"/>
        <v>540</v>
      </c>
      <c r="C86" s="569">
        <v>0.222</v>
      </c>
      <c r="D86" s="565" t="str">
        <f t="shared" si="14"/>
        <v/>
      </c>
      <c r="E86" s="42">
        <f t="shared" si="15"/>
        <v>538.5</v>
      </c>
      <c r="F86" s="655">
        <v>0.23100000000000001</v>
      </c>
      <c r="G86" s="36" t="str">
        <f t="shared" si="16"/>
        <v/>
      </c>
      <c r="H86" s="35"/>
      <c r="I86" s="35"/>
      <c r="J86" s="35"/>
      <c r="K86" s="35"/>
      <c r="L86" s="35"/>
      <c r="M86" s="35"/>
      <c r="S86" s="36"/>
      <c r="T86" s="22"/>
      <c r="U86" s="22"/>
      <c r="AA86" s="50">
        <v>671.9</v>
      </c>
      <c r="AB86" s="51">
        <v>89.674999999999997</v>
      </c>
      <c r="AC86" s="52">
        <f t="shared" si="12"/>
        <v>4.732861465199583E-2</v>
      </c>
    </row>
    <row r="87" spans="1:29" ht="15" customHeight="1">
      <c r="A87" s="64"/>
      <c r="B87" s="42">
        <f t="shared" si="13"/>
        <v>539</v>
      </c>
      <c r="C87" s="569">
        <v>0.254</v>
      </c>
      <c r="D87" s="565" t="str">
        <f t="shared" si="14"/>
        <v/>
      </c>
      <c r="E87" s="42">
        <f t="shared" si="15"/>
        <v>538</v>
      </c>
      <c r="F87" s="655">
        <v>0.26200000000000001</v>
      </c>
      <c r="G87" s="36" t="str">
        <f t="shared" si="16"/>
        <v/>
      </c>
      <c r="H87" s="35"/>
      <c r="I87" s="35"/>
      <c r="J87" s="35"/>
      <c r="K87" s="35"/>
      <c r="L87" s="35"/>
      <c r="M87" s="36"/>
      <c r="S87" s="36"/>
      <c r="T87" s="22"/>
      <c r="U87" s="22"/>
      <c r="AA87" s="50">
        <v>671.8</v>
      </c>
      <c r="AB87" s="51">
        <v>89.628</v>
      </c>
      <c r="AC87" s="52">
        <f t="shared" si="12"/>
        <v>4.7556294513648463E-2</v>
      </c>
    </row>
    <row r="88" spans="1:29" ht="15" customHeight="1">
      <c r="A88" s="59" t="s">
        <v>338</v>
      </c>
      <c r="B88" s="42">
        <f>IF(ISNUMBER($G$45),B89+$G$45,"")</f>
        <v>538</v>
      </c>
      <c r="C88" s="569">
        <v>0.28199999999999997</v>
      </c>
      <c r="D88" s="565" t="str">
        <f t="shared" si="14"/>
        <v/>
      </c>
      <c r="E88" s="42">
        <f>IF(ISNUMBER($G$45),E89+$K$45,"")</f>
        <v>537.5</v>
      </c>
      <c r="F88" s="655">
        <v>0.28499999999999998</v>
      </c>
      <c r="G88" s="36">
        <f t="shared" si="16"/>
        <v>0.28499999999999998</v>
      </c>
      <c r="H88" s="35"/>
      <c r="I88" s="35"/>
      <c r="J88" s="35"/>
      <c r="K88" s="35"/>
      <c r="L88" s="35"/>
      <c r="M88" s="39"/>
      <c r="S88" s="36"/>
      <c r="T88" s="22"/>
      <c r="U88" s="22"/>
      <c r="AA88" s="50">
        <v>671.7</v>
      </c>
      <c r="AB88" s="51">
        <v>89.620999999999995</v>
      </c>
      <c r="AC88" s="52">
        <f t="shared" si="12"/>
        <v>4.7590214495069491E-2</v>
      </c>
    </row>
    <row r="89" spans="1:29" ht="15" customHeight="1">
      <c r="A89" s="45">
        <v>536.82000000000005</v>
      </c>
      <c r="B89" s="122">
        <v>537</v>
      </c>
      <c r="C89" s="569">
        <v>0.28499999999999998</v>
      </c>
      <c r="D89" s="565">
        <f>IF(C89&lt;&gt;"",IF(C89 = LARGE($C$77:$C$101,1), C89, ""), "")</f>
        <v>0.28499999999999998</v>
      </c>
      <c r="E89" s="122">
        <v>537</v>
      </c>
      <c r="F89" s="655">
        <v>0.28199999999999997</v>
      </c>
      <c r="G89" s="36" t="str">
        <f>IF(F89 &lt;&gt;"", IF(F89 = LARGE($F$77:$F$101,1), F89, ""), "")</f>
        <v/>
      </c>
      <c r="H89" s="35"/>
      <c r="I89" s="35"/>
      <c r="J89" s="35"/>
      <c r="K89" s="35"/>
      <c r="L89" s="35"/>
      <c r="M89" s="40"/>
      <c r="S89" s="36"/>
      <c r="T89" s="36"/>
      <c r="U89" s="36"/>
      <c r="AA89" s="50">
        <v>671.6</v>
      </c>
      <c r="AB89" s="51">
        <v>89.662999999999997</v>
      </c>
      <c r="AC89" s="52">
        <f t="shared" si="12"/>
        <v>4.7386734334278639E-2</v>
      </c>
    </row>
    <row r="90" spans="1:29" ht="15" customHeight="1">
      <c r="A90" s="63"/>
      <c r="B90" s="42">
        <f>IF(ISNUMBER($G$45),B89-$G$45,"")</f>
        <v>536</v>
      </c>
      <c r="C90" s="569">
        <v>0.27</v>
      </c>
      <c r="D90" s="565" t="str">
        <f t="shared" ref="D90:D101" si="19">IF(C90&lt;&gt;"",IF(C90 = LARGE($C$77:$C$101,1), C90, ""), "")</f>
        <v/>
      </c>
      <c r="E90" s="42">
        <f>IF(ISNUMBER($G$45),E89-$K$45,"")</f>
        <v>536.5</v>
      </c>
      <c r="F90" s="655">
        <v>0.26200000000000001</v>
      </c>
      <c r="G90" s="36" t="str">
        <f t="shared" ref="G90:G101" si="20">IF(F90 &lt;&gt;"", IF(F90 = LARGE($F$77:$F$101,1), F90, ""), "")</f>
        <v/>
      </c>
      <c r="H90" s="35"/>
      <c r="I90" s="35"/>
      <c r="J90" s="35"/>
      <c r="K90" s="35"/>
      <c r="L90" s="35"/>
      <c r="M90" s="35"/>
      <c r="S90" s="36"/>
      <c r="T90" s="36"/>
      <c r="U90" s="36"/>
      <c r="AA90" s="50">
        <v>671.5</v>
      </c>
      <c r="AB90" s="51">
        <v>89.683000000000007</v>
      </c>
      <c r="AC90" s="52">
        <f t="shared" si="12"/>
        <v>4.72898725177444E-2</v>
      </c>
    </row>
    <row r="91" spans="1:29" ht="15" customHeight="1">
      <c r="A91" s="64"/>
      <c r="B91" s="42">
        <f t="shared" ref="B91:B101" si="21">IF(ISNUMBER($G$45),B90-$G$45,"")</f>
        <v>535</v>
      </c>
      <c r="C91" s="569">
        <v>0.23300000000000001</v>
      </c>
      <c r="D91" s="565" t="str">
        <f t="shared" si="19"/>
        <v/>
      </c>
      <c r="E91" s="42">
        <f t="shared" ref="E91:E101" si="22">IF(ISNUMBER($G$45),E90-$K$45,"")</f>
        <v>536</v>
      </c>
      <c r="F91" s="655">
        <v>0.222</v>
      </c>
      <c r="G91" s="36" t="str">
        <f t="shared" si="20"/>
        <v/>
      </c>
      <c r="H91" s="35"/>
      <c r="I91" s="35"/>
      <c r="J91" s="35"/>
      <c r="K91" s="35"/>
      <c r="L91" s="35"/>
      <c r="M91" s="36"/>
      <c r="S91" s="36"/>
      <c r="T91" s="36"/>
      <c r="U91" s="36"/>
      <c r="AA91" s="50">
        <v>671.4</v>
      </c>
      <c r="AB91" s="51">
        <v>89.570999999999998</v>
      </c>
      <c r="AC91" s="52">
        <f t="shared" si="12"/>
        <v>4.7832577152539857E-2</v>
      </c>
    </row>
    <row r="92" spans="1:29" ht="15" customHeight="1">
      <c r="A92" s="61"/>
      <c r="B92" s="42">
        <f t="shared" si="21"/>
        <v>534</v>
      </c>
      <c r="C92" s="569">
        <v>0.19600000000000001</v>
      </c>
      <c r="D92" s="565" t="str">
        <f t="shared" si="19"/>
        <v/>
      </c>
      <c r="E92" s="42">
        <f t="shared" si="22"/>
        <v>535.5</v>
      </c>
      <c r="F92" s="655">
        <v>0.185</v>
      </c>
      <c r="G92" s="36" t="str">
        <f t="shared" si="20"/>
        <v/>
      </c>
      <c r="H92" s="35"/>
      <c r="I92" s="35"/>
      <c r="J92" s="35"/>
      <c r="K92" s="35"/>
      <c r="L92" s="35"/>
      <c r="M92" s="35"/>
      <c r="S92" s="22"/>
      <c r="T92" s="22"/>
      <c r="U92" s="22"/>
      <c r="AA92" s="50">
        <v>671.3</v>
      </c>
      <c r="AB92" s="51">
        <v>89.510999999999996</v>
      </c>
      <c r="AC92" s="52">
        <f t="shared" si="12"/>
        <v>4.8123590988539182E-2</v>
      </c>
    </row>
    <row r="93" spans="1:29" ht="15" customHeight="1">
      <c r="A93" s="61"/>
      <c r="B93" s="42">
        <f t="shared" si="21"/>
        <v>533</v>
      </c>
      <c r="C93" s="569">
        <v>0.159</v>
      </c>
      <c r="D93" s="565" t="str">
        <f t="shared" si="19"/>
        <v/>
      </c>
      <c r="E93" s="42">
        <f t="shared" si="22"/>
        <v>535</v>
      </c>
      <c r="F93" s="655">
        <v>0.14899999999999999</v>
      </c>
      <c r="G93" s="36" t="str">
        <f t="shared" si="20"/>
        <v/>
      </c>
      <c r="H93" s="35"/>
      <c r="I93" s="35"/>
      <c r="J93" s="35"/>
      <c r="K93" s="35"/>
      <c r="L93" s="35"/>
      <c r="M93" s="35"/>
      <c r="S93" s="22"/>
      <c r="T93" s="22"/>
      <c r="U93" s="22"/>
      <c r="AA93" s="50">
        <v>671.2</v>
      </c>
      <c r="AB93" s="51">
        <v>89.501000000000005</v>
      </c>
      <c r="AC93" s="52">
        <f t="shared" si="12"/>
        <v>4.8172112258884688E-2</v>
      </c>
    </row>
    <row r="94" spans="1:29" ht="15" customHeight="1">
      <c r="A94" s="61"/>
      <c r="B94" s="42">
        <f t="shared" si="21"/>
        <v>532</v>
      </c>
      <c r="C94" s="569">
        <v>0.11700000000000001</v>
      </c>
      <c r="D94" s="565" t="str">
        <f t="shared" si="19"/>
        <v/>
      </c>
      <c r="E94" s="42">
        <f t="shared" si="22"/>
        <v>534.5</v>
      </c>
      <c r="F94" s="655">
        <v>0.109</v>
      </c>
      <c r="G94" s="36" t="str">
        <f t="shared" si="20"/>
        <v/>
      </c>
      <c r="H94" s="35"/>
      <c r="I94" s="35"/>
      <c r="J94" s="35"/>
      <c r="K94" s="35"/>
      <c r="L94" s="35"/>
      <c r="M94" s="35"/>
      <c r="S94" s="22"/>
      <c r="T94" s="22"/>
      <c r="U94" s="22"/>
      <c r="AA94" s="50">
        <v>671.1</v>
      </c>
      <c r="AB94" s="51">
        <v>89.504999999999995</v>
      </c>
      <c r="AC94" s="52">
        <f t="shared" si="12"/>
        <v>4.8152703100220795E-2</v>
      </c>
    </row>
    <row r="95" spans="1:29" ht="15" customHeight="1">
      <c r="A95" s="590" t="s">
        <v>351</v>
      </c>
      <c r="B95" s="42">
        <f t="shared" si="21"/>
        <v>531</v>
      </c>
      <c r="C95" s="569">
        <v>9.2999999999999999E-2</v>
      </c>
      <c r="D95" s="565" t="str">
        <f t="shared" si="19"/>
        <v/>
      </c>
      <c r="E95" s="42">
        <f t="shared" si="22"/>
        <v>534</v>
      </c>
      <c r="F95" s="655">
        <v>8.7999999999999995E-2</v>
      </c>
      <c r="G95" s="36" t="str">
        <f t="shared" si="20"/>
        <v/>
      </c>
      <c r="H95" s="35"/>
      <c r="I95" s="35"/>
      <c r="J95" s="35"/>
      <c r="K95" s="35"/>
      <c r="L95" s="35"/>
      <c r="M95" s="35"/>
      <c r="S95" s="22"/>
      <c r="T95" s="22"/>
      <c r="U95" s="22"/>
      <c r="AA95" s="50">
        <v>671</v>
      </c>
      <c r="AB95" s="51">
        <v>89.436999999999998</v>
      </c>
      <c r="AC95" s="52">
        <f t="shared" si="12"/>
        <v>4.8482776824566975E-2</v>
      </c>
    </row>
    <row r="96" spans="1:29" ht="15" customHeight="1">
      <c r="A96" s="61"/>
      <c r="B96" s="42">
        <f t="shared" si="21"/>
        <v>530</v>
      </c>
      <c r="C96" s="569"/>
      <c r="D96" s="565" t="str">
        <f t="shared" si="19"/>
        <v/>
      </c>
      <c r="E96" s="42">
        <f t="shared" si="22"/>
        <v>533.5</v>
      </c>
      <c r="F96" s="655">
        <v>7.4999999999999997E-2</v>
      </c>
      <c r="G96" s="36" t="str">
        <f t="shared" si="20"/>
        <v/>
      </c>
      <c r="H96" s="35"/>
      <c r="I96" s="35"/>
      <c r="J96" s="35"/>
      <c r="K96" s="35"/>
      <c r="L96" s="35"/>
      <c r="M96" s="35"/>
      <c r="S96" s="22"/>
      <c r="T96" s="22"/>
      <c r="U96" s="22"/>
      <c r="AA96" s="50">
        <v>670.9</v>
      </c>
      <c r="AB96" s="51">
        <v>89.358000000000004</v>
      </c>
      <c r="AC96" s="52">
        <f t="shared" si="12"/>
        <v>4.8866560110487407E-2</v>
      </c>
    </row>
    <row r="97" spans="1:91" ht="15" customHeight="1">
      <c r="A97" s="61"/>
      <c r="B97" s="42">
        <f t="shared" si="21"/>
        <v>529</v>
      </c>
      <c r="C97" s="569"/>
      <c r="D97" s="565" t="str">
        <f t="shared" si="19"/>
        <v/>
      </c>
      <c r="E97" s="42">
        <f t="shared" si="22"/>
        <v>533</v>
      </c>
      <c r="F97" s="655"/>
      <c r="G97" s="36" t="str">
        <f t="shared" si="20"/>
        <v/>
      </c>
      <c r="H97" s="35"/>
      <c r="I97" s="35"/>
      <c r="J97" s="35"/>
      <c r="K97" s="35"/>
      <c r="L97" s="35"/>
      <c r="M97" s="35"/>
      <c r="S97" s="22"/>
      <c r="T97" s="22"/>
      <c r="U97" s="22"/>
      <c r="AA97" s="50">
        <v>670.8</v>
      </c>
      <c r="AB97" s="51">
        <v>89.263999999999996</v>
      </c>
      <c r="AC97" s="52">
        <f t="shared" si="12"/>
        <v>4.9323655933706044E-2</v>
      </c>
    </row>
    <row r="98" spans="1:91" ht="15" customHeight="1">
      <c r="A98" s="61"/>
      <c r="B98" s="42">
        <f t="shared" si="21"/>
        <v>528</v>
      </c>
      <c r="C98" s="569"/>
      <c r="D98" s="565" t="str">
        <f t="shared" si="19"/>
        <v/>
      </c>
      <c r="E98" s="42">
        <f t="shared" si="22"/>
        <v>532.5</v>
      </c>
      <c r="F98" s="655"/>
      <c r="G98" s="36" t="str">
        <f t="shared" si="20"/>
        <v/>
      </c>
      <c r="H98" s="35"/>
      <c r="I98" s="35"/>
      <c r="J98" s="35"/>
      <c r="K98" s="35"/>
      <c r="L98" s="35"/>
      <c r="M98" s="35"/>
      <c r="S98" s="22"/>
      <c r="T98" s="22"/>
      <c r="U98" s="22"/>
      <c r="AA98" s="50">
        <v>670.7</v>
      </c>
      <c r="AB98" s="51">
        <v>89.197999999999993</v>
      </c>
      <c r="AC98" s="52">
        <f t="shared" si="12"/>
        <v>4.9644883277481212E-2</v>
      </c>
    </row>
    <row r="99" spans="1:91" ht="15" customHeight="1">
      <c r="A99" s="61"/>
      <c r="B99" s="42">
        <f t="shared" si="21"/>
        <v>527</v>
      </c>
      <c r="C99" s="569"/>
      <c r="D99" s="565" t="str">
        <f t="shared" si="19"/>
        <v/>
      </c>
      <c r="E99" s="42">
        <f t="shared" si="22"/>
        <v>532</v>
      </c>
      <c r="F99" s="655"/>
      <c r="G99" s="36" t="str">
        <f t="shared" si="20"/>
        <v/>
      </c>
      <c r="H99" s="35"/>
      <c r="I99" s="35"/>
      <c r="J99" s="35"/>
      <c r="K99" s="35"/>
      <c r="L99" s="35"/>
      <c r="M99" s="35"/>
      <c r="S99" s="22"/>
      <c r="T99" s="22"/>
      <c r="U99" s="22"/>
      <c r="AA99" s="50">
        <v>670.6</v>
      </c>
      <c r="AB99" s="51">
        <v>89.203000000000003</v>
      </c>
      <c r="AC99" s="52">
        <f t="shared" si="12"/>
        <v>4.9620539552837413E-2</v>
      </c>
    </row>
    <row r="100" spans="1:91" ht="15" customHeight="1">
      <c r="A100" s="60"/>
      <c r="B100" s="42">
        <f t="shared" si="21"/>
        <v>526</v>
      </c>
      <c r="C100" s="569"/>
      <c r="D100" s="565" t="str">
        <f t="shared" si="19"/>
        <v/>
      </c>
      <c r="E100" s="42">
        <f t="shared" si="22"/>
        <v>531.5</v>
      </c>
      <c r="F100" s="655"/>
      <c r="G100" s="36" t="str">
        <f t="shared" si="20"/>
        <v/>
      </c>
      <c r="H100" s="35"/>
      <c r="I100" s="35"/>
      <c r="J100" s="35"/>
      <c r="K100" s="35"/>
      <c r="L100" s="35"/>
      <c r="M100" s="36"/>
      <c r="S100" s="22"/>
      <c r="T100" s="22"/>
      <c r="U100" s="22"/>
      <c r="AA100" s="50">
        <v>670.5</v>
      </c>
      <c r="AB100" s="51">
        <v>89.147999999999996</v>
      </c>
      <c r="AC100" s="52">
        <f t="shared" si="12"/>
        <v>4.9888395603679435E-2</v>
      </c>
    </row>
    <row r="101" spans="1:91" ht="15" customHeight="1" thickBot="1">
      <c r="A101" s="43"/>
      <c r="B101" s="47">
        <f t="shared" si="21"/>
        <v>525</v>
      </c>
      <c r="C101" s="570"/>
      <c r="D101" s="566" t="str">
        <f t="shared" si="19"/>
        <v/>
      </c>
      <c r="E101" s="47">
        <f t="shared" si="22"/>
        <v>531</v>
      </c>
      <c r="F101" s="661"/>
      <c r="G101" s="36" t="str">
        <f t="shared" si="20"/>
        <v/>
      </c>
      <c r="H101" s="35"/>
      <c r="I101" s="35"/>
      <c r="J101" s="35"/>
      <c r="K101" s="35"/>
      <c r="L101" s="35"/>
      <c r="M101" s="41"/>
      <c r="AA101" s="50">
        <v>670.4</v>
      </c>
      <c r="AB101" s="51">
        <v>89.069000000000003</v>
      </c>
      <c r="AC101" s="52">
        <f t="shared" si="12"/>
        <v>5.0273423589983518E-2</v>
      </c>
    </row>
    <row r="102" spans="1:91" ht="15" customHeight="1" thickTop="1">
      <c r="A102" s="60"/>
      <c r="B102" s="44">
        <f t="shared" ref="B102:B112" si="23">IF(ISNUMBER($G$45),B103+$G$45,"")</f>
        <v>472</v>
      </c>
      <c r="C102" s="567"/>
      <c r="D102" s="565" t="str">
        <f t="shared" ref="D102:D113" si="24">IF(C102&lt;&gt;"",IF(C102 = LARGE($C$102:$C$126,1), C102, ""), "")</f>
        <v/>
      </c>
      <c r="E102" s="42">
        <f t="shared" ref="E102:E112" si="25">IF(ISNUMBER($G$45),E103+$K$45,"")</f>
        <v>466</v>
      </c>
      <c r="F102" s="660"/>
      <c r="G102" s="36" t="str">
        <f t="shared" ref="G102:G113" si="26">IF(F102 &lt;&gt;"", IF(F102 = LARGE($F$102:$F$126,1), F102, ""), "")</f>
        <v/>
      </c>
      <c r="I102" s="35"/>
      <c r="J102" s="35"/>
      <c r="K102" s="35"/>
      <c r="L102" s="35"/>
      <c r="M102" s="36"/>
      <c r="AA102" s="50">
        <v>670.3</v>
      </c>
      <c r="AB102" s="51">
        <v>88.986999999999995</v>
      </c>
      <c r="AC102" s="52">
        <f t="shared" si="12"/>
        <v>5.0673434261162206E-2</v>
      </c>
    </row>
    <row r="103" spans="1:91" ht="15" customHeight="1" thickBot="1">
      <c r="A103" s="60"/>
      <c r="B103" s="42">
        <f t="shared" si="23"/>
        <v>471</v>
      </c>
      <c r="C103" s="568"/>
      <c r="D103" s="565" t="str">
        <f t="shared" si="24"/>
        <v/>
      </c>
      <c r="E103" s="42">
        <f t="shared" si="25"/>
        <v>465.5</v>
      </c>
      <c r="F103" s="655"/>
      <c r="G103" s="36" t="str">
        <f t="shared" si="26"/>
        <v/>
      </c>
      <c r="I103" s="35"/>
      <c r="J103" s="35"/>
      <c r="K103" s="35"/>
      <c r="L103" s="35"/>
      <c r="M103" s="36"/>
      <c r="U103" s="589" t="s">
        <v>339</v>
      </c>
      <c r="AA103" s="50">
        <v>670.2</v>
      </c>
      <c r="AB103" s="51">
        <v>88.963999999999999</v>
      </c>
      <c r="AC103" s="52">
        <f t="shared" si="12"/>
        <v>5.0785698571443064E-2</v>
      </c>
    </row>
    <row r="104" spans="1:91" ht="15" customHeight="1">
      <c r="A104" s="60"/>
      <c r="B104" s="42">
        <f t="shared" si="23"/>
        <v>470</v>
      </c>
      <c r="C104" s="568"/>
      <c r="D104" s="565" t="str">
        <f t="shared" si="24"/>
        <v/>
      </c>
      <c r="E104" s="42">
        <f t="shared" si="25"/>
        <v>465</v>
      </c>
      <c r="F104" s="655"/>
      <c r="G104" s="36" t="str">
        <f t="shared" si="26"/>
        <v/>
      </c>
      <c r="I104" s="35"/>
      <c r="J104" s="35"/>
      <c r="K104" s="35"/>
      <c r="L104" s="35"/>
      <c r="M104" s="36"/>
      <c r="U104" s="103" t="s">
        <v>88</v>
      </c>
      <c r="V104" s="104" t="s">
        <v>89</v>
      </c>
      <c r="W104" s="105" t="s">
        <v>90</v>
      </c>
      <c r="X104" s="104" t="s">
        <v>91</v>
      </c>
      <c r="Y104" s="106" t="s">
        <v>96</v>
      </c>
      <c r="AA104" s="50">
        <v>670.1</v>
      </c>
      <c r="AB104" s="51">
        <v>88.876000000000005</v>
      </c>
      <c r="AC104" s="52">
        <f t="shared" si="12"/>
        <v>5.1215499713219384E-2</v>
      </c>
      <c r="AD104" s="746" t="s">
        <v>95</v>
      </c>
      <c r="AE104" s="53">
        <v>453.9</v>
      </c>
      <c r="AF104" s="53">
        <f t="shared" ref="AF104:CM104" si="27">AE104+0.2</f>
        <v>454.09999999999997</v>
      </c>
      <c r="AG104" s="53">
        <f t="shared" si="27"/>
        <v>454.29999999999995</v>
      </c>
      <c r="AH104" s="53">
        <f t="shared" si="27"/>
        <v>454.49999999999994</v>
      </c>
      <c r="AI104" s="53">
        <f t="shared" si="27"/>
        <v>454.69999999999993</v>
      </c>
      <c r="AJ104" s="53">
        <f t="shared" si="27"/>
        <v>454.89999999999992</v>
      </c>
      <c r="AK104" s="53">
        <f t="shared" si="27"/>
        <v>455.09999999999991</v>
      </c>
      <c r="AL104" s="53">
        <f t="shared" si="27"/>
        <v>455.2999999999999</v>
      </c>
      <c r="AM104" s="53">
        <f t="shared" si="27"/>
        <v>455.49999999999989</v>
      </c>
      <c r="AN104" s="53">
        <f t="shared" si="27"/>
        <v>455.69999999999987</v>
      </c>
      <c r="AO104" s="53">
        <f t="shared" si="27"/>
        <v>455.89999999999986</v>
      </c>
      <c r="AP104" s="53">
        <f t="shared" si="27"/>
        <v>456.09999999999985</v>
      </c>
      <c r="AQ104" s="53">
        <f t="shared" si="27"/>
        <v>456.29999999999984</v>
      </c>
      <c r="AR104" s="53">
        <f t="shared" si="27"/>
        <v>456.49999999999983</v>
      </c>
      <c r="AS104" s="53">
        <f t="shared" si="27"/>
        <v>456.69999999999982</v>
      </c>
      <c r="AT104" s="53">
        <f t="shared" si="27"/>
        <v>456.89999999999981</v>
      </c>
      <c r="AU104" s="53">
        <f t="shared" si="27"/>
        <v>457.0999999999998</v>
      </c>
      <c r="AV104" s="53">
        <f t="shared" si="27"/>
        <v>457.29999999999978</v>
      </c>
      <c r="AW104" s="53">
        <f t="shared" si="27"/>
        <v>457.49999999999977</v>
      </c>
      <c r="AX104" s="53">
        <f t="shared" si="27"/>
        <v>457.69999999999976</v>
      </c>
      <c r="AY104" s="53">
        <f t="shared" si="27"/>
        <v>457.89999999999975</v>
      </c>
      <c r="AZ104" s="53">
        <f t="shared" si="27"/>
        <v>458.09999999999974</v>
      </c>
      <c r="BA104" s="53">
        <f t="shared" si="27"/>
        <v>458.29999999999973</v>
      </c>
      <c r="BB104" s="53">
        <f t="shared" si="27"/>
        <v>458.49999999999972</v>
      </c>
      <c r="BC104" s="53">
        <f t="shared" si="27"/>
        <v>458.6999999999997</v>
      </c>
      <c r="BD104" s="53">
        <f t="shared" si="27"/>
        <v>458.89999999999969</v>
      </c>
      <c r="BE104" s="53">
        <f t="shared" si="27"/>
        <v>459.09999999999968</v>
      </c>
      <c r="BF104" s="53">
        <f t="shared" si="27"/>
        <v>459.29999999999967</v>
      </c>
      <c r="BG104" s="53">
        <f t="shared" si="27"/>
        <v>459.49999999999966</v>
      </c>
      <c r="BH104" s="53">
        <f t="shared" si="27"/>
        <v>459.69999999999965</v>
      </c>
      <c r="BI104" s="53">
        <f t="shared" si="27"/>
        <v>459.89999999999964</v>
      </c>
      <c r="BJ104" s="53">
        <f t="shared" si="27"/>
        <v>460.09999999999962</v>
      </c>
      <c r="BK104" s="53">
        <f t="shared" si="27"/>
        <v>460.29999999999961</v>
      </c>
      <c r="BL104" s="53">
        <f t="shared" si="27"/>
        <v>460.4999999999996</v>
      </c>
      <c r="BM104" s="53">
        <f t="shared" si="27"/>
        <v>460.69999999999959</v>
      </c>
      <c r="BN104" s="53">
        <f t="shared" si="27"/>
        <v>460.89999999999958</v>
      </c>
      <c r="BO104" s="53">
        <f t="shared" si="27"/>
        <v>461.09999999999957</v>
      </c>
      <c r="BP104" s="53">
        <f t="shared" si="27"/>
        <v>461.29999999999956</v>
      </c>
      <c r="BQ104" s="53">
        <f t="shared" si="27"/>
        <v>461.49999999999955</v>
      </c>
      <c r="BR104" s="53">
        <f t="shared" si="27"/>
        <v>461.69999999999953</v>
      </c>
      <c r="BS104" s="53">
        <f t="shared" si="27"/>
        <v>461.89999999999952</v>
      </c>
      <c r="BT104" s="53">
        <f t="shared" si="27"/>
        <v>462.09999999999951</v>
      </c>
      <c r="BU104" s="53">
        <f t="shared" si="27"/>
        <v>462.2999999999995</v>
      </c>
      <c r="BV104" s="53">
        <f t="shared" si="27"/>
        <v>462.49999999999949</v>
      </c>
      <c r="BW104" s="53">
        <f t="shared" si="27"/>
        <v>462.69999999999948</v>
      </c>
      <c r="BX104" s="53">
        <f t="shared" si="27"/>
        <v>462.89999999999947</v>
      </c>
      <c r="BY104" s="53">
        <f t="shared" si="27"/>
        <v>463.09999999999945</v>
      </c>
      <c r="BZ104" s="53">
        <f t="shared" si="27"/>
        <v>463.29999999999944</v>
      </c>
      <c r="CA104" s="53">
        <f t="shared" si="27"/>
        <v>463.49999999999943</v>
      </c>
      <c r="CB104" s="53">
        <f t="shared" si="27"/>
        <v>463.69999999999942</v>
      </c>
      <c r="CC104" s="53">
        <f t="shared" si="27"/>
        <v>463.89999999999941</v>
      </c>
      <c r="CD104" s="53">
        <f t="shared" si="27"/>
        <v>464.0999999999994</v>
      </c>
      <c r="CE104" s="53">
        <f t="shared" si="27"/>
        <v>464.29999999999939</v>
      </c>
      <c r="CF104" s="53">
        <f t="shared" si="27"/>
        <v>464.49999999999937</v>
      </c>
      <c r="CG104" s="53">
        <f t="shared" si="27"/>
        <v>464.69999999999936</v>
      </c>
      <c r="CH104" s="53">
        <f t="shared" si="27"/>
        <v>464.89999999999935</v>
      </c>
      <c r="CI104" s="53">
        <f t="shared" si="27"/>
        <v>465.09999999999934</v>
      </c>
      <c r="CJ104" s="53">
        <f t="shared" si="27"/>
        <v>465.29999999999933</v>
      </c>
      <c r="CK104" s="53">
        <f t="shared" si="27"/>
        <v>465.49999999999932</v>
      </c>
      <c r="CL104" s="53">
        <f t="shared" si="27"/>
        <v>465.69999999999931</v>
      </c>
      <c r="CM104" s="53">
        <f t="shared" si="27"/>
        <v>465.8999999999993</v>
      </c>
    </row>
    <row r="105" spans="1:91" ht="15" customHeight="1" thickBot="1">
      <c r="A105" s="60"/>
      <c r="B105" s="42">
        <f t="shared" si="23"/>
        <v>469</v>
      </c>
      <c r="C105" s="568"/>
      <c r="D105" s="565" t="str">
        <f t="shared" si="24"/>
        <v/>
      </c>
      <c r="E105" s="42">
        <f t="shared" si="25"/>
        <v>464.5</v>
      </c>
      <c r="F105" s="655"/>
      <c r="G105" s="36" t="str">
        <f t="shared" si="26"/>
        <v/>
      </c>
      <c r="I105" s="35"/>
      <c r="J105" s="35"/>
      <c r="K105" s="35"/>
      <c r="L105" s="35"/>
      <c r="M105" s="36"/>
      <c r="U105" s="114">
        <v>456.9</v>
      </c>
      <c r="V105" s="116">
        <v>0.56410000000000005</v>
      </c>
      <c r="W105" s="115">
        <v>460.1</v>
      </c>
      <c r="X105" s="116">
        <v>1.2799</v>
      </c>
      <c r="Y105" s="107">
        <f>(V105 + X105)/2</f>
        <v>0.92200000000000004</v>
      </c>
      <c r="AA105" s="50">
        <v>670</v>
      </c>
      <c r="AB105" s="51">
        <v>88.742000000000004</v>
      </c>
      <c r="AC105" s="52">
        <f t="shared" si="12"/>
        <v>5.1870787708984567E-2</v>
      </c>
      <c r="AD105" s="746"/>
      <c r="AE105" s="52">
        <f>$Y105</f>
        <v>0.92200000000000004</v>
      </c>
      <c r="AF105" s="53">
        <f t="shared" ref="AF105:CM105" si="28">AE105</f>
        <v>0.92200000000000004</v>
      </c>
      <c r="AG105" s="53">
        <f t="shared" si="28"/>
        <v>0.92200000000000004</v>
      </c>
      <c r="AH105" s="53">
        <f t="shared" si="28"/>
        <v>0.92200000000000004</v>
      </c>
      <c r="AI105" s="53">
        <f t="shared" si="28"/>
        <v>0.92200000000000004</v>
      </c>
      <c r="AJ105" s="53">
        <f t="shared" si="28"/>
        <v>0.92200000000000004</v>
      </c>
      <c r="AK105" s="53">
        <f t="shared" si="28"/>
        <v>0.92200000000000004</v>
      </c>
      <c r="AL105" s="53">
        <f t="shared" si="28"/>
        <v>0.92200000000000004</v>
      </c>
      <c r="AM105" s="53">
        <f t="shared" si="28"/>
        <v>0.92200000000000004</v>
      </c>
      <c r="AN105" s="53">
        <f t="shared" si="28"/>
        <v>0.92200000000000004</v>
      </c>
      <c r="AO105" s="53">
        <f t="shared" si="28"/>
        <v>0.92200000000000004</v>
      </c>
      <c r="AP105" s="53">
        <f t="shared" si="28"/>
        <v>0.92200000000000004</v>
      </c>
      <c r="AQ105" s="53">
        <f t="shared" si="28"/>
        <v>0.92200000000000004</v>
      </c>
      <c r="AR105" s="53">
        <f t="shared" si="28"/>
        <v>0.92200000000000004</v>
      </c>
      <c r="AS105" s="53">
        <f t="shared" si="28"/>
        <v>0.92200000000000004</v>
      </c>
      <c r="AT105" s="53">
        <f t="shared" si="28"/>
        <v>0.92200000000000004</v>
      </c>
      <c r="AU105" s="53">
        <f t="shared" si="28"/>
        <v>0.92200000000000004</v>
      </c>
      <c r="AV105" s="53">
        <f t="shared" si="28"/>
        <v>0.92200000000000004</v>
      </c>
      <c r="AW105" s="53">
        <f t="shared" si="28"/>
        <v>0.92200000000000004</v>
      </c>
      <c r="AX105" s="53">
        <f t="shared" si="28"/>
        <v>0.92200000000000004</v>
      </c>
      <c r="AY105" s="53">
        <f t="shared" si="28"/>
        <v>0.92200000000000004</v>
      </c>
      <c r="AZ105" s="53">
        <f t="shared" si="28"/>
        <v>0.92200000000000004</v>
      </c>
      <c r="BA105" s="53">
        <f t="shared" si="28"/>
        <v>0.92200000000000004</v>
      </c>
      <c r="BB105" s="53">
        <f t="shared" si="28"/>
        <v>0.92200000000000004</v>
      </c>
      <c r="BC105" s="53">
        <f t="shared" si="28"/>
        <v>0.92200000000000004</v>
      </c>
      <c r="BD105" s="53">
        <f t="shared" si="28"/>
        <v>0.92200000000000004</v>
      </c>
      <c r="BE105" s="53">
        <f t="shared" si="28"/>
        <v>0.92200000000000004</v>
      </c>
      <c r="BF105" s="53">
        <f t="shared" si="28"/>
        <v>0.92200000000000004</v>
      </c>
      <c r="BG105" s="53">
        <f t="shared" si="28"/>
        <v>0.92200000000000004</v>
      </c>
      <c r="BH105" s="53">
        <f t="shared" si="28"/>
        <v>0.92200000000000004</v>
      </c>
      <c r="BI105" s="53">
        <f t="shared" si="28"/>
        <v>0.92200000000000004</v>
      </c>
      <c r="BJ105" s="53">
        <f t="shared" si="28"/>
        <v>0.92200000000000004</v>
      </c>
      <c r="BK105" s="53">
        <f t="shared" si="28"/>
        <v>0.92200000000000004</v>
      </c>
      <c r="BL105" s="53">
        <f t="shared" si="28"/>
        <v>0.92200000000000004</v>
      </c>
      <c r="BM105" s="53">
        <f t="shared" si="28"/>
        <v>0.92200000000000004</v>
      </c>
      <c r="BN105" s="53">
        <f t="shared" si="28"/>
        <v>0.92200000000000004</v>
      </c>
      <c r="BO105" s="53">
        <f t="shared" si="28"/>
        <v>0.92200000000000004</v>
      </c>
      <c r="BP105" s="53">
        <f t="shared" si="28"/>
        <v>0.92200000000000004</v>
      </c>
      <c r="BQ105" s="53">
        <f t="shared" si="28"/>
        <v>0.92200000000000004</v>
      </c>
      <c r="BR105" s="53">
        <f t="shared" si="28"/>
        <v>0.92200000000000004</v>
      </c>
      <c r="BS105" s="53">
        <f t="shared" si="28"/>
        <v>0.92200000000000004</v>
      </c>
      <c r="BT105" s="53">
        <f t="shared" si="28"/>
        <v>0.92200000000000004</v>
      </c>
      <c r="BU105" s="53">
        <f t="shared" si="28"/>
        <v>0.92200000000000004</v>
      </c>
      <c r="BV105" s="53">
        <f t="shared" si="28"/>
        <v>0.92200000000000004</v>
      </c>
      <c r="BW105" s="53">
        <f t="shared" si="28"/>
        <v>0.92200000000000004</v>
      </c>
      <c r="BX105" s="53">
        <f t="shared" si="28"/>
        <v>0.92200000000000004</v>
      </c>
      <c r="BY105" s="53">
        <f t="shared" si="28"/>
        <v>0.92200000000000004</v>
      </c>
      <c r="BZ105" s="53">
        <f t="shared" si="28"/>
        <v>0.92200000000000004</v>
      </c>
      <c r="CA105" s="53">
        <f t="shared" si="28"/>
        <v>0.92200000000000004</v>
      </c>
      <c r="CB105" s="53">
        <f t="shared" si="28"/>
        <v>0.92200000000000004</v>
      </c>
      <c r="CC105" s="53">
        <f t="shared" si="28"/>
        <v>0.92200000000000004</v>
      </c>
      <c r="CD105" s="53">
        <f t="shared" si="28"/>
        <v>0.92200000000000004</v>
      </c>
      <c r="CE105" s="53">
        <f t="shared" si="28"/>
        <v>0.92200000000000004</v>
      </c>
      <c r="CF105" s="53">
        <f t="shared" si="28"/>
        <v>0.92200000000000004</v>
      </c>
      <c r="CG105" s="53">
        <f t="shared" si="28"/>
        <v>0.92200000000000004</v>
      </c>
      <c r="CH105" s="53">
        <f t="shared" si="28"/>
        <v>0.92200000000000004</v>
      </c>
      <c r="CI105" s="53">
        <f t="shared" si="28"/>
        <v>0.92200000000000004</v>
      </c>
      <c r="CJ105" s="53">
        <f t="shared" si="28"/>
        <v>0.92200000000000004</v>
      </c>
      <c r="CK105" s="53">
        <f t="shared" si="28"/>
        <v>0.92200000000000004</v>
      </c>
      <c r="CL105" s="53">
        <f t="shared" si="28"/>
        <v>0.92200000000000004</v>
      </c>
      <c r="CM105" s="53">
        <f t="shared" si="28"/>
        <v>0.92200000000000004</v>
      </c>
    </row>
    <row r="106" spans="1:91" ht="15" customHeight="1">
      <c r="A106" s="60"/>
      <c r="B106" s="42">
        <f t="shared" si="23"/>
        <v>468</v>
      </c>
      <c r="C106" s="568"/>
      <c r="D106" s="565" t="str">
        <f t="shared" si="24"/>
        <v/>
      </c>
      <c r="E106" s="42">
        <f t="shared" si="25"/>
        <v>464</v>
      </c>
      <c r="F106" s="655"/>
      <c r="G106" s="36" t="str">
        <f t="shared" si="26"/>
        <v/>
      </c>
      <c r="I106" s="35"/>
      <c r="J106" s="35"/>
      <c r="K106" s="35"/>
      <c r="L106" s="35"/>
      <c r="M106" s="36"/>
      <c r="AA106" s="50">
        <v>669.9</v>
      </c>
      <c r="AB106" s="51">
        <v>88.700999999999993</v>
      </c>
      <c r="AC106" s="52">
        <f t="shared" si="12"/>
        <v>5.2071483978489937E-2</v>
      </c>
    </row>
    <row r="107" spans="1:91" ht="15" customHeight="1" thickBot="1">
      <c r="A107" s="60"/>
      <c r="B107" s="42">
        <f t="shared" si="23"/>
        <v>467</v>
      </c>
      <c r="C107" s="568"/>
      <c r="D107" s="565" t="str">
        <f t="shared" si="24"/>
        <v/>
      </c>
      <c r="E107" s="42">
        <f t="shared" si="25"/>
        <v>463.5</v>
      </c>
      <c r="F107" s="655"/>
      <c r="G107" s="36" t="str">
        <f t="shared" si="26"/>
        <v/>
      </c>
      <c r="I107" s="35"/>
      <c r="J107" s="35"/>
      <c r="K107" s="35"/>
      <c r="L107" s="35"/>
      <c r="M107" s="36"/>
      <c r="AA107" s="50">
        <v>669.8</v>
      </c>
      <c r="AB107" s="51">
        <v>88.602000000000004</v>
      </c>
      <c r="AC107" s="52">
        <f t="shared" si="12"/>
        <v>5.2556474736420257E-2</v>
      </c>
    </row>
    <row r="108" spans="1:91" ht="15" customHeight="1">
      <c r="A108" s="590" t="s">
        <v>352</v>
      </c>
      <c r="B108" s="42">
        <f t="shared" si="23"/>
        <v>466</v>
      </c>
      <c r="C108" s="568">
        <v>0.22700000000000001</v>
      </c>
      <c r="D108" s="565" t="str">
        <f t="shared" si="24"/>
        <v/>
      </c>
      <c r="E108" s="42">
        <f t="shared" si="25"/>
        <v>463</v>
      </c>
      <c r="F108" s="655">
        <v>0.24399999999999999</v>
      </c>
      <c r="G108" s="36" t="str">
        <f t="shared" si="26"/>
        <v/>
      </c>
      <c r="I108" s="35"/>
      <c r="J108" s="35"/>
      <c r="K108" s="35"/>
      <c r="L108" s="35"/>
      <c r="M108" s="36"/>
      <c r="U108" s="95" t="s">
        <v>87</v>
      </c>
      <c r="V108" s="96">
        <f>X109 - X108</f>
        <v>3</v>
      </c>
      <c r="W108" s="97" t="s">
        <v>92</v>
      </c>
      <c r="X108" s="117">
        <v>458.7</v>
      </c>
      <c r="Y108" s="98" t="s">
        <v>53</v>
      </c>
      <c r="AA108" s="50">
        <v>669.7</v>
      </c>
      <c r="AB108" s="51">
        <v>88.483000000000004</v>
      </c>
      <c r="AC108" s="52">
        <f t="shared" si="12"/>
        <v>5.3140161114439713E-2</v>
      </c>
    </row>
    <row r="109" spans="1:91" ht="15" customHeight="1" thickBot="1">
      <c r="A109" s="60"/>
      <c r="B109" s="42">
        <f t="shared" si="23"/>
        <v>465</v>
      </c>
      <c r="C109" s="568">
        <v>0.29399999999999998</v>
      </c>
      <c r="D109" s="565" t="str">
        <f t="shared" si="24"/>
        <v/>
      </c>
      <c r="E109" s="42">
        <f t="shared" si="25"/>
        <v>462.5</v>
      </c>
      <c r="F109" s="655">
        <v>0.31900000000000001</v>
      </c>
      <c r="G109" s="36" t="str">
        <f t="shared" si="26"/>
        <v/>
      </c>
      <c r="I109" s="35"/>
      <c r="J109" s="35"/>
      <c r="K109" s="35"/>
      <c r="L109" s="35"/>
      <c r="M109" s="36"/>
      <c r="U109" s="99" t="s">
        <v>93</v>
      </c>
      <c r="V109" s="100">
        <f>X105 - Y105</f>
        <v>0.3579</v>
      </c>
      <c r="W109" s="101" t="s">
        <v>94</v>
      </c>
      <c r="X109" s="118">
        <v>461.7</v>
      </c>
      <c r="Y109" s="102" t="s">
        <v>53</v>
      </c>
      <c r="AA109" s="50">
        <v>669.6</v>
      </c>
      <c r="AB109" s="51">
        <v>88.378</v>
      </c>
      <c r="AC109" s="52">
        <f t="shared" si="12"/>
        <v>5.3655830775443551E-2</v>
      </c>
    </row>
    <row r="110" spans="1:91" ht="15" customHeight="1">
      <c r="A110" s="59"/>
      <c r="B110" s="42">
        <f t="shared" si="23"/>
        <v>464</v>
      </c>
      <c r="C110" s="569">
        <v>0.38300000000000001</v>
      </c>
      <c r="D110" s="565" t="str">
        <f t="shared" si="24"/>
        <v/>
      </c>
      <c r="E110" s="42">
        <f t="shared" si="25"/>
        <v>462</v>
      </c>
      <c r="F110" s="655">
        <v>0.41499999999999998</v>
      </c>
      <c r="G110" s="36" t="str">
        <f t="shared" si="26"/>
        <v/>
      </c>
      <c r="I110" s="35"/>
      <c r="J110" s="35"/>
      <c r="K110" s="35"/>
      <c r="L110" s="35"/>
      <c r="M110" s="35"/>
      <c r="AA110" s="50">
        <v>669.5</v>
      </c>
      <c r="AB110" s="51">
        <v>88.2</v>
      </c>
      <c r="AC110" s="52">
        <f t="shared" si="12"/>
        <v>5.4531414868180264E-2</v>
      </c>
    </row>
    <row r="111" spans="1:91" ht="15" customHeight="1">
      <c r="A111" s="60"/>
      <c r="B111" s="42">
        <f t="shared" si="23"/>
        <v>463</v>
      </c>
      <c r="C111" s="569">
        <v>0.52</v>
      </c>
      <c r="D111" s="565" t="str">
        <f t="shared" si="24"/>
        <v/>
      </c>
      <c r="E111" s="42">
        <f t="shared" si="25"/>
        <v>461.5</v>
      </c>
      <c r="F111" s="655">
        <v>0.55500000000000005</v>
      </c>
      <c r="G111" s="36" t="str">
        <f t="shared" si="26"/>
        <v/>
      </c>
      <c r="I111" s="35"/>
      <c r="J111" s="35"/>
      <c r="K111" s="35"/>
      <c r="L111" s="35"/>
      <c r="M111" s="36"/>
      <c r="AA111" s="50">
        <v>669.4</v>
      </c>
      <c r="AB111" s="51">
        <v>88.197999999999993</v>
      </c>
      <c r="AC111" s="52">
        <f t="shared" si="12"/>
        <v>5.4541262927272141E-2</v>
      </c>
    </row>
    <row r="112" spans="1:91" ht="15" customHeight="1">
      <c r="A112" s="61"/>
      <c r="B112" s="42">
        <f t="shared" si="23"/>
        <v>462</v>
      </c>
      <c r="C112" s="569">
        <v>0.623</v>
      </c>
      <c r="D112" s="565" t="str">
        <f t="shared" si="24"/>
        <v/>
      </c>
      <c r="E112" s="42">
        <f t="shared" si="25"/>
        <v>461</v>
      </c>
      <c r="F112" s="655">
        <v>0.65</v>
      </c>
      <c r="G112" s="36" t="str">
        <f t="shared" si="26"/>
        <v/>
      </c>
      <c r="I112" s="35"/>
      <c r="J112" s="35"/>
      <c r="K112" s="35"/>
      <c r="L112" s="35"/>
      <c r="M112" s="35"/>
      <c r="AA112" s="50">
        <v>669.3</v>
      </c>
      <c r="AB112" s="51">
        <v>88.123999999999995</v>
      </c>
      <c r="AC112" s="52">
        <f t="shared" si="12"/>
        <v>5.4905798192840007E-2</v>
      </c>
    </row>
    <row r="113" spans="1:31" ht="15" customHeight="1">
      <c r="A113" s="59" t="s">
        <v>339</v>
      </c>
      <c r="B113" s="42">
        <f>IF(ISNUMBER($G$45),B114+$G$45,"")</f>
        <v>461</v>
      </c>
      <c r="C113" s="569">
        <v>0.68700000000000006</v>
      </c>
      <c r="D113" s="565" t="str">
        <f t="shared" si="24"/>
        <v/>
      </c>
      <c r="E113" s="42">
        <f>IF(ISNUMBER($G$45),E114+$K$45,"")</f>
        <v>460.5</v>
      </c>
      <c r="F113" s="655">
        <v>0.69799999999999995</v>
      </c>
      <c r="G113" s="36">
        <f t="shared" si="26"/>
        <v>0.69799999999999995</v>
      </c>
      <c r="I113" s="35"/>
      <c r="J113" s="35"/>
      <c r="K113" s="35"/>
      <c r="L113" s="35"/>
      <c r="M113" s="36"/>
      <c r="AA113" s="50">
        <v>669.2</v>
      </c>
      <c r="AB113" s="51">
        <v>87.978999999999999</v>
      </c>
      <c r="AC113" s="52">
        <f t="shared" si="12"/>
        <v>5.5620978673659914E-2</v>
      </c>
    </row>
    <row r="114" spans="1:31" ht="15" customHeight="1">
      <c r="A114" s="45">
        <v>460.35</v>
      </c>
      <c r="B114" s="122">
        <v>460</v>
      </c>
      <c r="C114" s="569">
        <v>0.69099999999999995</v>
      </c>
      <c r="D114" s="565">
        <f>IF(C114&lt;&gt;"",IF(C114 = LARGE($C$102:$C$126,1), C114, ""), "")</f>
        <v>0.69099999999999995</v>
      </c>
      <c r="E114" s="122">
        <v>460</v>
      </c>
      <c r="F114" s="655">
        <v>0.68200000000000005</v>
      </c>
      <c r="G114" s="36" t="str">
        <f>IF(F114 &lt;&gt;"", IF(F114 = LARGE($F$102:$F$126,1), F114, ""), "")</f>
        <v/>
      </c>
      <c r="I114" s="35"/>
      <c r="J114" s="35"/>
      <c r="K114" s="35"/>
      <c r="L114" s="35"/>
      <c r="M114" s="35"/>
      <c r="AA114" s="50">
        <v>669.1</v>
      </c>
      <c r="AB114" s="51">
        <v>87.826999999999998</v>
      </c>
      <c r="AC114" s="52">
        <f t="shared" si="12"/>
        <v>5.6371951651804066E-2</v>
      </c>
    </row>
    <row r="115" spans="1:31" ht="15" customHeight="1">
      <c r="A115" s="60"/>
      <c r="B115" s="42">
        <f>IF(ISNUMBER($G$45),B114-$G$45,"")</f>
        <v>459</v>
      </c>
      <c r="C115" s="569">
        <v>0.64400000000000002</v>
      </c>
      <c r="D115" s="565" t="str">
        <f t="shared" ref="D115:D126" si="29">IF(C115&lt;&gt;"",IF(C115 = LARGE($C$102:$C$126,1), C115, ""), "")</f>
        <v/>
      </c>
      <c r="E115" s="42">
        <f>IF(ISNUMBER($G$45),E114-$K$45,"")</f>
        <v>459.5</v>
      </c>
      <c r="F115" s="655">
        <v>0.63</v>
      </c>
      <c r="G115" s="36" t="str">
        <f t="shared" ref="G115:G126" si="30">IF(F115 &lt;&gt;"", IF(F115 = LARGE($F$102:$F$126,1), F115, ""), "")</f>
        <v/>
      </c>
      <c r="I115" s="35"/>
      <c r="J115" s="35"/>
      <c r="K115" s="35"/>
      <c r="L115" s="35"/>
      <c r="M115" s="36"/>
      <c r="AA115" s="50">
        <v>669</v>
      </c>
      <c r="AB115" s="51">
        <v>87.668999999999997</v>
      </c>
      <c r="AC115" s="52">
        <f t="shared" si="12"/>
        <v>5.7153947215011235E-2</v>
      </c>
    </row>
    <row r="116" spans="1:31" ht="15" customHeight="1">
      <c r="A116" s="61"/>
      <c r="B116" s="42">
        <f t="shared" ref="B116:B126" si="31">IF(ISNUMBER($G$45),B115-$G$45,"")</f>
        <v>458</v>
      </c>
      <c r="C116" s="569">
        <v>0.59699999999999998</v>
      </c>
      <c r="D116" s="565" t="str">
        <f t="shared" si="29"/>
        <v/>
      </c>
      <c r="E116" s="42">
        <f t="shared" ref="E116:E126" si="32">IF(ISNUMBER($G$45),E115-$K$45,"")</f>
        <v>459</v>
      </c>
      <c r="F116" s="655">
        <v>0.58699999999999997</v>
      </c>
      <c r="G116" s="36" t="str">
        <f t="shared" si="30"/>
        <v/>
      </c>
      <c r="I116" s="35"/>
      <c r="J116" s="35"/>
      <c r="K116" s="35"/>
      <c r="L116" s="35"/>
      <c r="M116" s="35"/>
      <c r="AA116" s="50">
        <v>668.9</v>
      </c>
      <c r="AB116" s="51">
        <v>87.567999999999998</v>
      </c>
      <c r="AC116" s="52">
        <f t="shared" si="12"/>
        <v>5.7654569201570138E-2</v>
      </c>
    </row>
    <row r="117" spans="1:31" ht="15" customHeight="1">
      <c r="A117" s="60"/>
      <c r="B117" s="42">
        <f t="shared" si="31"/>
        <v>457</v>
      </c>
      <c r="C117" s="569">
        <v>0.58299999999999996</v>
      </c>
      <c r="D117" s="565" t="str">
        <f t="shared" si="29"/>
        <v/>
      </c>
      <c r="E117" s="42">
        <f t="shared" si="32"/>
        <v>458.5</v>
      </c>
      <c r="F117" s="655">
        <v>0.58799999999999997</v>
      </c>
      <c r="G117" s="36" t="str">
        <f t="shared" si="30"/>
        <v/>
      </c>
      <c r="I117" s="35"/>
      <c r="J117" s="35"/>
      <c r="K117" s="35"/>
      <c r="L117" s="35"/>
      <c r="M117" s="36"/>
      <c r="AA117" s="50">
        <v>668.8</v>
      </c>
      <c r="AB117" s="51">
        <v>87.412000000000006</v>
      </c>
      <c r="AC117" s="52">
        <f t="shared" si="12"/>
        <v>5.8428942925729845E-2</v>
      </c>
    </row>
    <row r="118" spans="1:31" ht="15" customHeight="1">
      <c r="A118" s="60"/>
      <c r="B118" s="42">
        <f t="shared" si="31"/>
        <v>456</v>
      </c>
      <c r="C118" s="569">
        <v>0.61099999999999999</v>
      </c>
      <c r="D118" s="565" t="str">
        <f t="shared" si="29"/>
        <v/>
      </c>
      <c r="E118" s="42">
        <f t="shared" si="32"/>
        <v>458</v>
      </c>
      <c r="F118" s="655">
        <v>0.625</v>
      </c>
      <c r="G118" s="36" t="str">
        <f t="shared" si="30"/>
        <v/>
      </c>
      <c r="I118" s="35"/>
      <c r="J118" s="35"/>
      <c r="K118" s="35"/>
      <c r="L118" s="35"/>
      <c r="M118" s="36"/>
      <c r="AA118" s="50">
        <v>668.7</v>
      </c>
      <c r="AB118" s="51">
        <v>87.305999999999997</v>
      </c>
      <c r="AC118" s="52">
        <f t="shared" si="12"/>
        <v>5.8955908902101915E-2</v>
      </c>
    </row>
    <row r="119" spans="1:31" ht="15" customHeight="1">
      <c r="A119" s="60"/>
      <c r="B119" s="42">
        <f t="shared" si="31"/>
        <v>455</v>
      </c>
      <c r="C119" s="569">
        <v>0.65800000000000003</v>
      </c>
      <c r="D119" s="565" t="str">
        <f t="shared" si="29"/>
        <v/>
      </c>
      <c r="E119" s="42">
        <f t="shared" si="32"/>
        <v>457.5</v>
      </c>
      <c r="F119" s="655">
        <v>0.67100000000000004</v>
      </c>
      <c r="G119" s="36" t="str">
        <f t="shared" si="30"/>
        <v/>
      </c>
      <c r="I119" s="35"/>
      <c r="J119" s="35"/>
      <c r="K119" s="35"/>
      <c r="L119" s="35"/>
      <c r="M119" s="36"/>
      <c r="AA119" s="50">
        <v>668.6</v>
      </c>
      <c r="AB119" s="51">
        <v>87.075999999999993</v>
      </c>
      <c r="AC119" s="52">
        <f t="shared" si="12"/>
        <v>6.0101529307416315E-2</v>
      </c>
    </row>
    <row r="120" spans="1:31" ht="15" customHeight="1">
      <c r="A120" s="590" t="s">
        <v>351</v>
      </c>
      <c r="B120" s="42">
        <f t="shared" si="31"/>
        <v>454</v>
      </c>
      <c r="C120" s="569">
        <v>0.69</v>
      </c>
      <c r="D120" s="565" t="str">
        <f t="shared" si="29"/>
        <v/>
      </c>
      <c r="E120" s="42">
        <f t="shared" si="32"/>
        <v>457</v>
      </c>
      <c r="F120" s="655">
        <v>0.69</v>
      </c>
      <c r="G120" s="36" t="str">
        <f t="shared" si="30"/>
        <v/>
      </c>
      <c r="I120" s="35"/>
      <c r="J120" s="35"/>
      <c r="K120" s="35"/>
      <c r="L120" s="35"/>
      <c r="M120" s="36"/>
      <c r="AA120" s="50">
        <v>668.5</v>
      </c>
      <c r="AB120" s="51">
        <v>86.936999999999998</v>
      </c>
      <c r="AC120" s="52">
        <f t="shared" si="12"/>
        <v>6.0795350410712476E-2</v>
      </c>
    </row>
    <row r="121" spans="1:31" ht="15" customHeight="1">
      <c r="A121" s="60"/>
      <c r="B121" s="42">
        <f t="shared" si="31"/>
        <v>453</v>
      </c>
      <c r="C121" s="569"/>
      <c r="D121" s="565" t="str">
        <f t="shared" si="29"/>
        <v/>
      </c>
      <c r="E121" s="42">
        <f t="shared" si="32"/>
        <v>456.5</v>
      </c>
      <c r="F121" s="655">
        <v>0.67500000000000004</v>
      </c>
      <c r="G121" s="36" t="str">
        <f t="shared" si="30"/>
        <v/>
      </c>
      <c r="I121" s="35"/>
      <c r="J121" s="35"/>
      <c r="K121" s="35"/>
      <c r="L121" s="35"/>
      <c r="M121" s="36"/>
      <c r="AA121" s="50">
        <v>668.4</v>
      </c>
      <c r="AB121" s="51">
        <v>86.772000000000006</v>
      </c>
      <c r="AC121" s="52">
        <f t="shared" si="12"/>
        <v>6.1620392418497739E-2</v>
      </c>
    </row>
    <row r="122" spans="1:31" ht="15" customHeight="1">
      <c r="A122" s="60"/>
      <c r="B122" s="42">
        <f t="shared" si="31"/>
        <v>452</v>
      </c>
      <c r="C122" s="569"/>
      <c r="D122" s="565" t="str">
        <f t="shared" si="29"/>
        <v/>
      </c>
      <c r="E122" s="42">
        <f t="shared" si="32"/>
        <v>456</v>
      </c>
      <c r="F122" s="655"/>
      <c r="G122" s="36" t="str">
        <f t="shared" si="30"/>
        <v/>
      </c>
      <c r="I122" s="35"/>
      <c r="J122" s="35"/>
      <c r="K122" s="35"/>
      <c r="L122" s="35"/>
      <c r="M122" s="36"/>
      <c r="AA122" s="50">
        <v>668.3</v>
      </c>
      <c r="AB122" s="51">
        <v>86.635999999999996</v>
      </c>
      <c r="AC122" s="52">
        <f t="shared" si="12"/>
        <v>6.2301607375694408E-2</v>
      </c>
    </row>
    <row r="123" spans="1:31" ht="15" customHeight="1">
      <c r="A123" s="60"/>
      <c r="B123" s="42">
        <f t="shared" si="31"/>
        <v>451</v>
      </c>
      <c r="C123" s="569"/>
      <c r="D123" s="565" t="str">
        <f t="shared" si="29"/>
        <v/>
      </c>
      <c r="E123" s="42">
        <f t="shared" si="32"/>
        <v>455.5</v>
      </c>
      <c r="F123" s="655"/>
      <c r="G123" s="36" t="str">
        <f t="shared" si="30"/>
        <v/>
      </c>
      <c r="I123" s="35"/>
      <c r="J123" s="35"/>
      <c r="K123" s="35"/>
      <c r="L123" s="35"/>
      <c r="M123" s="36"/>
      <c r="AA123" s="50">
        <v>668.2</v>
      </c>
      <c r="AB123" s="51">
        <v>86.477000000000004</v>
      </c>
      <c r="AC123" s="52">
        <f t="shared" si="12"/>
        <v>6.3099385035837771E-2</v>
      </c>
    </row>
    <row r="124" spans="1:31" ht="15" customHeight="1">
      <c r="A124" s="60"/>
      <c r="B124" s="42">
        <f t="shared" si="31"/>
        <v>450</v>
      </c>
      <c r="C124" s="569"/>
      <c r="D124" s="565" t="str">
        <f t="shared" si="29"/>
        <v/>
      </c>
      <c r="E124" s="42">
        <f t="shared" si="32"/>
        <v>455</v>
      </c>
      <c r="F124" s="655"/>
      <c r="G124" s="36" t="str">
        <f t="shared" si="30"/>
        <v/>
      </c>
      <c r="I124" s="35"/>
      <c r="J124" s="35"/>
      <c r="K124" s="35"/>
      <c r="L124" s="35"/>
      <c r="M124" s="36"/>
      <c r="AA124" s="50">
        <v>668.1</v>
      </c>
      <c r="AB124" s="51">
        <v>86.275999999999996</v>
      </c>
      <c r="AC124" s="52">
        <f t="shared" si="12"/>
        <v>6.410999822639149E-2</v>
      </c>
    </row>
    <row r="125" spans="1:31" ht="15" customHeight="1">
      <c r="A125" s="61"/>
      <c r="B125" s="42">
        <f t="shared" si="31"/>
        <v>449</v>
      </c>
      <c r="C125" s="569"/>
      <c r="D125" s="565" t="str">
        <f t="shared" si="29"/>
        <v/>
      </c>
      <c r="E125" s="42">
        <f t="shared" si="32"/>
        <v>454.5</v>
      </c>
      <c r="F125" s="655"/>
      <c r="G125" s="36" t="str">
        <f t="shared" si="30"/>
        <v/>
      </c>
      <c r="I125" s="35"/>
      <c r="J125" s="35"/>
      <c r="K125" s="35"/>
      <c r="L125" s="35"/>
      <c r="M125" s="35"/>
      <c r="AA125" s="50">
        <v>668</v>
      </c>
      <c r="AB125" s="51">
        <v>86.15</v>
      </c>
      <c r="AC125" s="52">
        <f t="shared" si="12"/>
        <v>6.4744718215952679E-2</v>
      </c>
    </row>
    <row r="126" spans="1:31" ht="15" customHeight="1" thickBot="1">
      <c r="A126" s="43"/>
      <c r="B126" s="47">
        <f t="shared" si="31"/>
        <v>448</v>
      </c>
      <c r="C126" s="570"/>
      <c r="D126" s="566" t="str">
        <f t="shared" si="29"/>
        <v/>
      </c>
      <c r="E126" s="47">
        <f t="shared" si="32"/>
        <v>454</v>
      </c>
      <c r="F126" s="661"/>
      <c r="G126" s="571" t="str">
        <f t="shared" si="30"/>
        <v/>
      </c>
      <c r="I126" s="35"/>
      <c r="J126" s="35"/>
      <c r="K126" s="35"/>
      <c r="L126" s="35"/>
      <c r="M126" s="36"/>
      <c r="S126" s="22"/>
      <c r="X126" s="22"/>
      <c r="Y126" s="22"/>
      <c r="Z126" s="22"/>
      <c r="AA126" s="50">
        <v>667.9</v>
      </c>
      <c r="AB126" s="51">
        <v>85.938999999999993</v>
      </c>
      <c r="AC126" s="52">
        <f t="shared" si="12"/>
        <v>6.5809704143023909E-2</v>
      </c>
      <c r="AE126" s="22"/>
    </row>
    <row r="127" spans="1:31" ht="15" customHeight="1" thickTop="1">
      <c r="A127" s="60"/>
      <c r="B127" s="44">
        <f t="shared" ref="B127:B137" si="33">IF(ISNUMBER($G$45),B128+$G$45,"")</f>
        <v>465</v>
      </c>
      <c r="C127" s="567"/>
      <c r="D127" s="565" t="str">
        <f t="shared" ref="D127:D138" si="34">IF(C127&lt;&gt;"",IF(C127=LARGE($C$127:$C$151,1),C127,""), "")</f>
        <v/>
      </c>
      <c r="E127" s="42">
        <f t="shared" ref="E127:E137" si="35">IF(ISNUMBER($G$45),E128+$K$45,"")</f>
        <v>459</v>
      </c>
      <c r="F127" s="660"/>
      <c r="G127" s="36" t="str">
        <f t="shared" ref="G127:G138" si="36">IF(F127 &lt;&gt;"", IF(F127 = LARGE($F$127:$F$151,1), F127, ""), "")</f>
        <v/>
      </c>
      <c r="I127" s="35"/>
      <c r="J127" s="35"/>
      <c r="K127" s="35"/>
      <c r="L127" s="35"/>
      <c r="S127" s="22"/>
      <c r="X127" s="22"/>
      <c r="Y127" s="22"/>
      <c r="Z127" s="22"/>
      <c r="AA127" s="50">
        <v>667.8</v>
      </c>
      <c r="AB127" s="51">
        <v>85.762</v>
      </c>
      <c r="AC127" s="52">
        <f t="shared" si="12"/>
        <v>6.6705099633163525E-2</v>
      </c>
      <c r="AE127" s="22"/>
    </row>
    <row r="128" spans="1:31" ht="15" customHeight="1" thickBot="1">
      <c r="A128" s="60"/>
      <c r="B128" s="42">
        <f t="shared" si="33"/>
        <v>464</v>
      </c>
      <c r="C128" s="572"/>
      <c r="D128" s="565" t="str">
        <f t="shared" si="34"/>
        <v/>
      </c>
      <c r="E128" s="42">
        <f t="shared" si="35"/>
        <v>458.5</v>
      </c>
      <c r="F128" s="655"/>
      <c r="G128" s="36" t="str">
        <f t="shared" si="36"/>
        <v/>
      </c>
      <c r="I128" s="35"/>
      <c r="J128" s="35"/>
      <c r="K128" s="35"/>
      <c r="L128" s="35"/>
      <c r="S128" s="22"/>
      <c r="U128" s="589" t="s">
        <v>340</v>
      </c>
      <c r="X128" s="22"/>
      <c r="Y128" s="22"/>
      <c r="Z128" s="22"/>
      <c r="AA128" s="50">
        <v>667.7</v>
      </c>
      <c r="AB128" s="51">
        <v>85.534999999999997</v>
      </c>
      <c r="AC128" s="52">
        <f t="shared" si="12"/>
        <v>6.7856140283038074E-2</v>
      </c>
      <c r="AE128" s="22"/>
    </row>
    <row r="129" spans="1:91" ht="15" customHeight="1">
      <c r="A129" s="60"/>
      <c r="B129" s="42">
        <f t="shared" si="33"/>
        <v>463</v>
      </c>
      <c r="C129" s="572"/>
      <c r="D129" s="565" t="str">
        <f t="shared" si="34"/>
        <v/>
      </c>
      <c r="E129" s="42">
        <f t="shared" si="35"/>
        <v>458</v>
      </c>
      <c r="F129" s="655"/>
      <c r="G129" s="36" t="str">
        <f t="shared" si="36"/>
        <v/>
      </c>
      <c r="I129" s="35"/>
      <c r="J129" s="35"/>
      <c r="K129" s="35"/>
      <c r="L129" s="35"/>
      <c r="S129" s="22"/>
      <c r="U129" s="103" t="s">
        <v>88</v>
      </c>
      <c r="V129" s="104" t="s">
        <v>89</v>
      </c>
      <c r="W129" s="105" t="s">
        <v>90</v>
      </c>
      <c r="X129" s="104" t="s">
        <v>91</v>
      </c>
      <c r="Y129" s="106" t="s">
        <v>96</v>
      </c>
      <c r="Z129" s="22"/>
      <c r="AA129" s="50">
        <v>667.6</v>
      </c>
      <c r="AB129" s="51">
        <v>85.373999999999995</v>
      </c>
      <c r="AC129" s="52">
        <f t="shared" si="12"/>
        <v>6.867437024482248E-2</v>
      </c>
      <c r="AD129" s="746" t="s">
        <v>95</v>
      </c>
      <c r="AE129" s="50">
        <v>447.4</v>
      </c>
      <c r="AF129" s="50">
        <f t="shared" ref="AF129:CM129" si="37">AE129+0.2</f>
        <v>447.59999999999997</v>
      </c>
      <c r="AG129" s="50">
        <f t="shared" si="37"/>
        <v>447.79999999999995</v>
      </c>
      <c r="AH129" s="50">
        <f t="shared" si="37"/>
        <v>447.99999999999994</v>
      </c>
      <c r="AI129" s="50">
        <f t="shared" si="37"/>
        <v>448.19999999999993</v>
      </c>
      <c r="AJ129" s="50">
        <f t="shared" si="37"/>
        <v>448.39999999999992</v>
      </c>
      <c r="AK129" s="50">
        <f t="shared" si="37"/>
        <v>448.59999999999991</v>
      </c>
      <c r="AL129" s="50">
        <f t="shared" si="37"/>
        <v>448.7999999999999</v>
      </c>
      <c r="AM129" s="50">
        <f t="shared" si="37"/>
        <v>448.99999999999989</v>
      </c>
      <c r="AN129" s="50">
        <f t="shared" si="37"/>
        <v>449.19999999999987</v>
      </c>
      <c r="AO129" s="50">
        <f t="shared" si="37"/>
        <v>449.39999999999986</v>
      </c>
      <c r="AP129" s="50">
        <f t="shared" si="37"/>
        <v>449.59999999999985</v>
      </c>
      <c r="AQ129" s="50">
        <f t="shared" si="37"/>
        <v>449.79999999999984</v>
      </c>
      <c r="AR129" s="50">
        <f t="shared" si="37"/>
        <v>449.99999999999983</v>
      </c>
      <c r="AS129" s="50">
        <f t="shared" si="37"/>
        <v>450.19999999999982</v>
      </c>
      <c r="AT129" s="50">
        <f t="shared" si="37"/>
        <v>450.39999999999981</v>
      </c>
      <c r="AU129" s="50">
        <f t="shared" si="37"/>
        <v>450.5999999999998</v>
      </c>
      <c r="AV129" s="50">
        <f t="shared" si="37"/>
        <v>450.79999999999978</v>
      </c>
      <c r="AW129" s="50">
        <f t="shared" si="37"/>
        <v>450.99999999999977</v>
      </c>
      <c r="AX129" s="50">
        <f t="shared" si="37"/>
        <v>451.19999999999976</v>
      </c>
      <c r="AY129" s="50">
        <f t="shared" si="37"/>
        <v>451.39999999999975</v>
      </c>
      <c r="AZ129" s="50">
        <f t="shared" si="37"/>
        <v>451.59999999999974</v>
      </c>
      <c r="BA129" s="50">
        <f t="shared" si="37"/>
        <v>451.79999999999973</v>
      </c>
      <c r="BB129" s="50">
        <f t="shared" si="37"/>
        <v>451.99999999999972</v>
      </c>
      <c r="BC129" s="50">
        <f t="shared" si="37"/>
        <v>452.1999999999997</v>
      </c>
      <c r="BD129" s="50">
        <f t="shared" si="37"/>
        <v>452.39999999999969</v>
      </c>
      <c r="BE129" s="50">
        <f t="shared" si="37"/>
        <v>452.59999999999968</v>
      </c>
      <c r="BF129" s="50">
        <f t="shared" si="37"/>
        <v>452.79999999999967</v>
      </c>
      <c r="BG129" s="50">
        <f t="shared" si="37"/>
        <v>452.99999999999966</v>
      </c>
      <c r="BH129" s="50">
        <f t="shared" si="37"/>
        <v>453.19999999999965</v>
      </c>
      <c r="BI129" s="50">
        <f t="shared" si="37"/>
        <v>453.39999999999964</v>
      </c>
      <c r="BJ129" s="50">
        <f t="shared" si="37"/>
        <v>453.59999999999962</v>
      </c>
      <c r="BK129" s="50">
        <f t="shared" si="37"/>
        <v>453.79999999999961</v>
      </c>
      <c r="BL129" s="50">
        <f t="shared" si="37"/>
        <v>453.9999999999996</v>
      </c>
      <c r="BM129" s="50">
        <f t="shared" si="37"/>
        <v>454.19999999999959</v>
      </c>
      <c r="BN129" s="50">
        <f t="shared" si="37"/>
        <v>454.39999999999958</v>
      </c>
      <c r="BO129" s="50">
        <f t="shared" si="37"/>
        <v>454.59999999999957</v>
      </c>
      <c r="BP129" s="50">
        <f t="shared" si="37"/>
        <v>454.79999999999956</v>
      </c>
      <c r="BQ129" s="50">
        <f t="shared" si="37"/>
        <v>454.99999999999955</v>
      </c>
      <c r="BR129" s="50">
        <f t="shared" si="37"/>
        <v>455.19999999999953</v>
      </c>
      <c r="BS129" s="50">
        <f t="shared" si="37"/>
        <v>455.39999999999952</v>
      </c>
      <c r="BT129" s="50">
        <f t="shared" si="37"/>
        <v>455.59999999999951</v>
      </c>
      <c r="BU129" s="50">
        <f t="shared" si="37"/>
        <v>455.7999999999995</v>
      </c>
      <c r="BV129" s="50">
        <f t="shared" si="37"/>
        <v>455.99999999999949</v>
      </c>
      <c r="BW129" s="50">
        <f t="shared" si="37"/>
        <v>456.19999999999948</v>
      </c>
      <c r="BX129" s="50">
        <f t="shared" si="37"/>
        <v>456.39999999999947</v>
      </c>
      <c r="BY129" s="50">
        <f t="shared" si="37"/>
        <v>456.59999999999945</v>
      </c>
      <c r="BZ129" s="50">
        <f t="shared" si="37"/>
        <v>456.79999999999944</v>
      </c>
      <c r="CA129" s="50">
        <f t="shared" si="37"/>
        <v>456.99999999999943</v>
      </c>
      <c r="CB129" s="50">
        <f t="shared" si="37"/>
        <v>457.19999999999942</v>
      </c>
      <c r="CC129" s="50">
        <f t="shared" si="37"/>
        <v>457.39999999999941</v>
      </c>
      <c r="CD129" s="50">
        <f t="shared" si="37"/>
        <v>457.5999999999994</v>
      </c>
      <c r="CE129" s="50">
        <f t="shared" si="37"/>
        <v>457.79999999999939</v>
      </c>
      <c r="CF129" s="50">
        <f t="shared" si="37"/>
        <v>457.99999999999937</v>
      </c>
      <c r="CG129" s="50">
        <f t="shared" si="37"/>
        <v>458.19999999999936</v>
      </c>
      <c r="CH129" s="50">
        <f t="shared" si="37"/>
        <v>458.39999999999935</v>
      </c>
      <c r="CI129" s="50">
        <f t="shared" si="37"/>
        <v>458.59999999999934</v>
      </c>
      <c r="CJ129" s="50">
        <f t="shared" si="37"/>
        <v>458.79999999999933</v>
      </c>
      <c r="CK129" s="50">
        <f t="shared" si="37"/>
        <v>458.99999999999932</v>
      </c>
      <c r="CL129" s="50">
        <f t="shared" si="37"/>
        <v>459.19999999999931</v>
      </c>
      <c r="CM129" s="50">
        <f t="shared" si="37"/>
        <v>459.3999999999993</v>
      </c>
    </row>
    <row r="130" spans="1:91" ht="15" customHeight="1" thickBot="1">
      <c r="A130" s="60"/>
      <c r="B130" s="42">
        <f t="shared" si="33"/>
        <v>462</v>
      </c>
      <c r="C130" s="572"/>
      <c r="D130" s="565" t="str">
        <f t="shared" si="34"/>
        <v/>
      </c>
      <c r="E130" s="42">
        <f t="shared" si="35"/>
        <v>457.5</v>
      </c>
      <c r="F130" s="655"/>
      <c r="G130" s="36" t="str">
        <f t="shared" si="36"/>
        <v/>
      </c>
      <c r="I130" s="35"/>
      <c r="J130" s="35"/>
      <c r="K130" s="35"/>
      <c r="L130" s="35"/>
      <c r="S130" s="22"/>
      <c r="U130" s="114">
        <v>450.6</v>
      </c>
      <c r="V130" s="116">
        <v>0.68140000000000001</v>
      </c>
      <c r="W130" s="115">
        <v>453.5</v>
      </c>
      <c r="X130" s="116">
        <v>1.2793000000000001</v>
      </c>
      <c r="Y130" s="107">
        <f>(V130 + X130)/2</f>
        <v>0.98035000000000005</v>
      </c>
      <c r="Z130" s="22"/>
      <c r="AA130" s="50">
        <v>667.5</v>
      </c>
      <c r="AB130" s="51">
        <v>85.228999999999999</v>
      </c>
      <c r="AC130" s="52">
        <f t="shared" si="12"/>
        <v>6.9412607146158045E-2</v>
      </c>
      <c r="AD130" s="746"/>
      <c r="AE130" s="52">
        <f>$Y130</f>
        <v>0.98035000000000005</v>
      </c>
      <c r="AF130" s="52">
        <f t="shared" ref="AF130:CM130" si="38">AE130</f>
        <v>0.98035000000000005</v>
      </c>
      <c r="AG130" s="52">
        <f t="shared" si="38"/>
        <v>0.98035000000000005</v>
      </c>
      <c r="AH130" s="52">
        <f t="shared" si="38"/>
        <v>0.98035000000000005</v>
      </c>
      <c r="AI130" s="52">
        <f t="shared" si="38"/>
        <v>0.98035000000000005</v>
      </c>
      <c r="AJ130" s="52">
        <f t="shared" si="38"/>
        <v>0.98035000000000005</v>
      </c>
      <c r="AK130" s="52">
        <f t="shared" si="38"/>
        <v>0.98035000000000005</v>
      </c>
      <c r="AL130" s="52">
        <f t="shared" si="38"/>
        <v>0.98035000000000005</v>
      </c>
      <c r="AM130" s="52">
        <f t="shared" si="38"/>
        <v>0.98035000000000005</v>
      </c>
      <c r="AN130" s="52">
        <f t="shared" si="38"/>
        <v>0.98035000000000005</v>
      </c>
      <c r="AO130" s="52">
        <f t="shared" si="38"/>
        <v>0.98035000000000005</v>
      </c>
      <c r="AP130" s="52">
        <f t="shared" si="38"/>
        <v>0.98035000000000005</v>
      </c>
      <c r="AQ130" s="52">
        <f t="shared" si="38"/>
        <v>0.98035000000000005</v>
      </c>
      <c r="AR130" s="52">
        <f t="shared" si="38"/>
        <v>0.98035000000000005</v>
      </c>
      <c r="AS130" s="52">
        <f t="shared" si="38"/>
        <v>0.98035000000000005</v>
      </c>
      <c r="AT130" s="52">
        <f t="shared" si="38"/>
        <v>0.98035000000000005</v>
      </c>
      <c r="AU130" s="52">
        <f t="shared" si="38"/>
        <v>0.98035000000000005</v>
      </c>
      <c r="AV130" s="52">
        <f t="shared" si="38"/>
        <v>0.98035000000000005</v>
      </c>
      <c r="AW130" s="52">
        <f t="shared" si="38"/>
        <v>0.98035000000000005</v>
      </c>
      <c r="AX130" s="52">
        <f t="shared" si="38"/>
        <v>0.98035000000000005</v>
      </c>
      <c r="AY130" s="52">
        <f t="shared" si="38"/>
        <v>0.98035000000000005</v>
      </c>
      <c r="AZ130" s="52">
        <f t="shared" si="38"/>
        <v>0.98035000000000005</v>
      </c>
      <c r="BA130" s="52">
        <f t="shared" si="38"/>
        <v>0.98035000000000005</v>
      </c>
      <c r="BB130" s="52">
        <f t="shared" si="38"/>
        <v>0.98035000000000005</v>
      </c>
      <c r="BC130" s="52">
        <f t="shared" si="38"/>
        <v>0.98035000000000005</v>
      </c>
      <c r="BD130" s="52">
        <f t="shared" si="38"/>
        <v>0.98035000000000005</v>
      </c>
      <c r="BE130" s="52">
        <f t="shared" si="38"/>
        <v>0.98035000000000005</v>
      </c>
      <c r="BF130" s="52">
        <f t="shared" si="38"/>
        <v>0.98035000000000005</v>
      </c>
      <c r="BG130" s="52">
        <f t="shared" si="38"/>
        <v>0.98035000000000005</v>
      </c>
      <c r="BH130" s="52">
        <f t="shared" si="38"/>
        <v>0.98035000000000005</v>
      </c>
      <c r="BI130" s="52">
        <f t="shared" si="38"/>
        <v>0.98035000000000005</v>
      </c>
      <c r="BJ130" s="52">
        <f t="shared" si="38"/>
        <v>0.98035000000000005</v>
      </c>
      <c r="BK130" s="52">
        <f t="shared" si="38"/>
        <v>0.98035000000000005</v>
      </c>
      <c r="BL130" s="52">
        <f t="shared" si="38"/>
        <v>0.98035000000000005</v>
      </c>
      <c r="BM130" s="52">
        <f t="shared" si="38"/>
        <v>0.98035000000000005</v>
      </c>
      <c r="BN130" s="52">
        <f t="shared" si="38"/>
        <v>0.98035000000000005</v>
      </c>
      <c r="BO130" s="52">
        <f t="shared" si="38"/>
        <v>0.98035000000000005</v>
      </c>
      <c r="BP130" s="52">
        <f t="shared" si="38"/>
        <v>0.98035000000000005</v>
      </c>
      <c r="BQ130" s="52">
        <f t="shared" si="38"/>
        <v>0.98035000000000005</v>
      </c>
      <c r="BR130" s="52">
        <f t="shared" si="38"/>
        <v>0.98035000000000005</v>
      </c>
      <c r="BS130" s="52">
        <f t="shared" si="38"/>
        <v>0.98035000000000005</v>
      </c>
      <c r="BT130" s="52">
        <f t="shared" si="38"/>
        <v>0.98035000000000005</v>
      </c>
      <c r="BU130" s="52">
        <f t="shared" si="38"/>
        <v>0.98035000000000005</v>
      </c>
      <c r="BV130" s="52">
        <f t="shared" si="38"/>
        <v>0.98035000000000005</v>
      </c>
      <c r="BW130" s="52">
        <f t="shared" si="38"/>
        <v>0.98035000000000005</v>
      </c>
      <c r="BX130" s="52">
        <f t="shared" si="38"/>
        <v>0.98035000000000005</v>
      </c>
      <c r="BY130" s="52">
        <f t="shared" si="38"/>
        <v>0.98035000000000005</v>
      </c>
      <c r="BZ130" s="52">
        <f t="shared" si="38"/>
        <v>0.98035000000000005</v>
      </c>
      <c r="CA130" s="52">
        <f t="shared" si="38"/>
        <v>0.98035000000000005</v>
      </c>
      <c r="CB130" s="52">
        <f t="shared" si="38"/>
        <v>0.98035000000000005</v>
      </c>
      <c r="CC130" s="52">
        <f t="shared" si="38"/>
        <v>0.98035000000000005</v>
      </c>
      <c r="CD130" s="52">
        <f t="shared" si="38"/>
        <v>0.98035000000000005</v>
      </c>
      <c r="CE130" s="52">
        <f t="shared" si="38"/>
        <v>0.98035000000000005</v>
      </c>
      <c r="CF130" s="52">
        <f t="shared" si="38"/>
        <v>0.98035000000000005</v>
      </c>
      <c r="CG130" s="52">
        <f t="shared" si="38"/>
        <v>0.98035000000000005</v>
      </c>
      <c r="CH130" s="52">
        <f t="shared" si="38"/>
        <v>0.98035000000000005</v>
      </c>
      <c r="CI130" s="52">
        <f t="shared" si="38"/>
        <v>0.98035000000000005</v>
      </c>
      <c r="CJ130" s="52">
        <f t="shared" si="38"/>
        <v>0.98035000000000005</v>
      </c>
      <c r="CK130" s="52">
        <f t="shared" si="38"/>
        <v>0.98035000000000005</v>
      </c>
      <c r="CL130" s="52">
        <f t="shared" si="38"/>
        <v>0.98035000000000005</v>
      </c>
      <c r="CM130" s="52">
        <f t="shared" si="38"/>
        <v>0.98035000000000005</v>
      </c>
    </row>
    <row r="131" spans="1:91" ht="15" customHeight="1">
      <c r="A131" s="60"/>
      <c r="B131" s="42">
        <f t="shared" si="33"/>
        <v>461</v>
      </c>
      <c r="C131" s="572"/>
      <c r="D131" s="565" t="str">
        <f t="shared" si="34"/>
        <v/>
      </c>
      <c r="E131" s="42">
        <f t="shared" si="35"/>
        <v>457</v>
      </c>
      <c r="F131" s="655"/>
      <c r="G131" s="36" t="str">
        <f t="shared" si="36"/>
        <v/>
      </c>
      <c r="I131" s="35"/>
      <c r="J131" s="35"/>
      <c r="K131" s="35"/>
      <c r="L131" s="35"/>
      <c r="S131" s="22"/>
      <c r="Z131" s="22"/>
      <c r="AA131" s="50">
        <v>667.4</v>
      </c>
      <c r="AB131" s="51">
        <v>85.108999999999995</v>
      </c>
      <c r="AC131" s="52">
        <f t="shared" si="12"/>
        <v>7.0024512257758673E-2</v>
      </c>
      <c r="AE131" s="22"/>
    </row>
    <row r="132" spans="1:91" ht="15" customHeight="1" thickBot="1">
      <c r="A132" s="60"/>
      <c r="B132" s="42">
        <f t="shared" si="33"/>
        <v>460</v>
      </c>
      <c r="C132" s="572">
        <v>0.69099999999999995</v>
      </c>
      <c r="D132" s="565" t="str">
        <f t="shared" si="34"/>
        <v/>
      </c>
      <c r="E132" s="42">
        <f t="shared" si="35"/>
        <v>456.5</v>
      </c>
      <c r="F132" s="655">
        <v>0.68200000000000005</v>
      </c>
      <c r="G132" s="36" t="str">
        <f t="shared" si="36"/>
        <v/>
      </c>
      <c r="I132" s="35"/>
      <c r="J132" s="35"/>
      <c r="K132" s="35"/>
      <c r="L132" s="35"/>
      <c r="S132" s="22"/>
      <c r="Z132" s="22"/>
      <c r="AA132" s="50">
        <v>667.3</v>
      </c>
      <c r="AB132" s="51">
        <v>84.887</v>
      </c>
      <c r="AC132" s="52">
        <f t="shared" si="12"/>
        <v>7.1158814591821259E-2</v>
      </c>
      <c r="AE132" s="22"/>
    </row>
    <row r="133" spans="1:91" ht="15" customHeight="1">
      <c r="A133" s="590" t="s">
        <v>352</v>
      </c>
      <c r="B133" s="42">
        <f t="shared" si="33"/>
        <v>459</v>
      </c>
      <c r="C133" s="572">
        <v>0.64400000000000002</v>
      </c>
      <c r="D133" s="565" t="str">
        <f t="shared" si="34"/>
        <v/>
      </c>
      <c r="E133" s="42">
        <f t="shared" si="35"/>
        <v>456</v>
      </c>
      <c r="F133" s="655">
        <v>0.63</v>
      </c>
      <c r="G133" s="36" t="str">
        <f t="shared" si="36"/>
        <v/>
      </c>
      <c r="I133" s="35"/>
      <c r="J133" s="35"/>
      <c r="K133" s="35"/>
      <c r="L133" s="35"/>
      <c r="S133" s="22"/>
      <c r="U133" s="95" t="s">
        <v>87</v>
      </c>
      <c r="V133" s="96">
        <f>X134 - X133</f>
        <v>2</v>
      </c>
      <c r="W133" s="97" t="s">
        <v>92</v>
      </c>
      <c r="X133" s="117">
        <v>452.6</v>
      </c>
      <c r="Y133" s="98" t="s">
        <v>53</v>
      </c>
      <c r="Z133" s="22"/>
      <c r="AA133" s="50">
        <v>667.2</v>
      </c>
      <c r="AB133" s="51">
        <v>84.605000000000004</v>
      </c>
      <c r="AC133" s="52">
        <f t="shared" si="12"/>
        <v>7.2603970196871953E-2</v>
      </c>
      <c r="AE133" s="22"/>
    </row>
    <row r="134" spans="1:91" ht="15" customHeight="1" thickBot="1">
      <c r="A134" s="61"/>
      <c r="B134" s="42">
        <f t="shared" si="33"/>
        <v>458</v>
      </c>
      <c r="C134" s="572">
        <v>0.59699999999999998</v>
      </c>
      <c r="D134" s="565" t="str">
        <f t="shared" si="34"/>
        <v/>
      </c>
      <c r="E134" s="42">
        <f t="shared" si="35"/>
        <v>455.5</v>
      </c>
      <c r="F134" s="655">
        <v>0.58699999999999997</v>
      </c>
      <c r="G134" s="36" t="str">
        <f t="shared" si="36"/>
        <v/>
      </c>
      <c r="S134" s="22"/>
      <c r="U134" s="99" t="s">
        <v>93</v>
      </c>
      <c r="V134" s="100">
        <f>X130 - Y130</f>
        <v>0.29895000000000005</v>
      </c>
      <c r="W134" s="101" t="s">
        <v>94</v>
      </c>
      <c r="X134" s="118">
        <v>454.6</v>
      </c>
      <c r="Y134" s="102" t="s">
        <v>53</v>
      </c>
      <c r="Z134" s="22"/>
      <c r="AA134" s="50">
        <v>667.1</v>
      </c>
      <c r="AB134" s="51">
        <v>84.436999999999998</v>
      </c>
      <c r="AC134" s="52">
        <f t="shared" si="12"/>
        <v>7.3467205333481209E-2</v>
      </c>
      <c r="AE134" s="22"/>
    </row>
    <row r="135" spans="1:91" ht="15" customHeight="1">
      <c r="A135" s="60"/>
      <c r="B135" s="42">
        <f t="shared" si="33"/>
        <v>457</v>
      </c>
      <c r="C135" s="569">
        <v>0.58299999999999996</v>
      </c>
      <c r="D135" s="565" t="str">
        <f t="shared" si="34"/>
        <v/>
      </c>
      <c r="E135" s="42">
        <f t="shared" si="35"/>
        <v>455</v>
      </c>
      <c r="F135" s="655">
        <v>0.58799999999999997</v>
      </c>
      <c r="G135" s="36" t="str">
        <f t="shared" si="36"/>
        <v/>
      </c>
      <c r="S135" s="36"/>
      <c r="X135" s="36"/>
      <c r="Y135" s="36"/>
      <c r="Z135" s="36"/>
      <c r="AA135" s="50">
        <v>667</v>
      </c>
      <c r="AB135" s="51">
        <v>84.305999999999997</v>
      </c>
      <c r="AC135" s="52">
        <f t="shared" si="12"/>
        <v>7.41415158359469E-2</v>
      </c>
      <c r="AE135" s="36"/>
    </row>
    <row r="136" spans="1:91" ht="15" customHeight="1">
      <c r="A136" s="61"/>
      <c r="B136" s="42">
        <f t="shared" si="33"/>
        <v>456</v>
      </c>
      <c r="C136" s="569">
        <v>0.61099999999999999</v>
      </c>
      <c r="D136" s="565" t="str">
        <f t="shared" si="34"/>
        <v/>
      </c>
      <c r="E136" s="42">
        <f t="shared" si="35"/>
        <v>454.5</v>
      </c>
      <c r="F136" s="655">
        <v>0.625</v>
      </c>
      <c r="G136" s="36" t="str">
        <f t="shared" si="36"/>
        <v/>
      </c>
      <c r="S136" s="36"/>
      <c r="X136" s="36"/>
      <c r="Y136" s="36"/>
      <c r="Z136" s="36"/>
      <c r="AA136" s="50">
        <v>666.9</v>
      </c>
      <c r="AB136" s="51">
        <v>84.183999999999997</v>
      </c>
      <c r="AC136" s="52">
        <f t="shared" si="12"/>
        <v>7.4770442609664547E-2</v>
      </c>
      <c r="AE136" s="36"/>
    </row>
    <row r="137" spans="1:91" ht="15" customHeight="1">
      <c r="A137" s="60"/>
      <c r="B137" s="42">
        <f t="shared" si="33"/>
        <v>455</v>
      </c>
      <c r="C137" s="569">
        <v>0.65800000000000003</v>
      </c>
      <c r="D137" s="565" t="str">
        <f t="shared" si="34"/>
        <v/>
      </c>
      <c r="E137" s="42">
        <f t="shared" si="35"/>
        <v>454</v>
      </c>
      <c r="F137" s="655">
        <v>0.67100000000000004</v>
      </c>
      <c r="G137" s="36" t="str">
        <f t="shared" si="36"/>
        <v/>
      </c>
      <c r="S137" s="36"/>
      <c r="X137" s="36"/>
      <c r="Y137" s="36"/>
      <c r="Z137" s="36"/>
      <c r="AA137" s="50">
        <v>666.8</v>
      </c>
      <c r="AB137" s="51">
        <v>84.004999999999995</v>
      </c>
      <c r="AC137" s="52">
        <f t="shared" si="12"/>
        <v>7.5694863845440677E-2</v>
      </c>
      <c r="AE137" s="36"/>
    </row>
    <row r="138" spans="1:91" ht="15" customHeight="1">
      <c r="A138" s="59" t="s">
        <v>340</v>
      </c>
      <c r="B138" s="42">
        <f>IF(ISNUMBER($G$45),B139+$G$45,"")</f>
        <v>454</v>
      </c>
      <c r="C138" s="569">
        <v>0.69</v>
      </c>
      <c r="D138" s="565" t="str">
        <f t="shared" si="34"/>
        <v/>
      </c>
      <c r="E138" s="42">
        <f>IF(ISNUMBER($G$45),E139+$K$45,"")</f>
        <v>453.5</v>
      </c>
      <c r="F138" s="655">
        <v>0.69</v>
      </c>
      <c r="G138" s="36" t="str">
        <f t="shared" si="36"/>
        <v/>
      </c>
      <c r="S138" s="36"/>
      <c r="X138" s="36"/>
      <c r="Y138" s="36"/>
      <c r="Z138" s="36"/>
      <c r="AA138" s="50">
        <v>666.7</v>
      </c>
      <c r="AB138" s="51">
        <v>83.826999999999998</v>
      </c>
      <c r="AC138" s="52">
        <f t="shared" ref="AC138:AC201" si="39">-LOG(AB138/100)</f>
        <v>7.6616076090588361E-2</v>
      </c>
      <c r="AE138" s="36"/>
    </row>
    <row r="139" spans="1:91" ht="15" customHeight="1">
      <c r="A139" s="45">
        <v>453.51</v>
      </c>
      <c r="B139" s="121">
        <v>453</v>
      </c>
      <c r="C139" s="569">
        <v>0.68</v>
      </c>
      <c r="D139" s="565" t="str">
        <f>IF(C139&lt;&gt;"",IF(C139=LARGE($C$127:$C$151,1),C139,""), "")</f>
        <v/>
      </c>
      <c r="E139" s="121">
        <v>453</v>
      </c>
      <c r="F139" s="655">
        <v>0.67500000000000004</v>
      </c>
      <c r="G139" s="36" t="str">
        <f>IF(F139 &lt;&gt;"", IF(F139 = LARGE($F$127:$F$151,1), F139, ""), "")</f>
        <v/>
      </c>
      <c r="S139" s="36"/>
      <c r="T139" s="22"/>
      <c r="U139" s="22"/>
      <c r="V139" s="36"/>
      <c r="W139" s="36"/>
      <c r="X139" s="36"/>
      <c r="Y139" s="36"/>
      <c r="Z139" s="36"/>
      <c r="AA139" s="50">
        <v>666.6</v>
      </c>
      <c r="AB139" s="51">
        <v>83.712000000000003</v>
      </c>
      <c r="AC139" s="52">
        <f t="shared" si="39"/>
        <v>7.7212282027864315E-2</v>
      </c>
      <c r="AE139" s="36"/>
    </row>
    <row r="140" spans="1:91" ht="15" customHeight="1">
      <c r="A140" s="61"/>
      <c r="B140" s="42">
        <f>IF(ISNUMBER($G$45),B139-$G$45,"")</f>
        <v>452</v>
      </c>
      <c r="C140" s="569">
        <v>0.66400000000000003</v>
      </c>
      <c r="D140" s="565" t="str">
        <f t="shared" ref="D140:D151" si="40">IF(C140&lt;&gt;"",IF(C140=LARGE($C$127:$C$151,1),C140,""), "")</f>
        <v/>
      </c>
      <c r="E140" s="42">
        <f>IF(ISNUMBER($G$45),E139-$K$45,"")</f>
        <v>452.5</v>
      </c>
      <c r="F140" s="655">
        <v>0.66400000000000003</v>
      </c>
      <c r="G140" s="36" t="str">
        <f t="shared" ref="G140:G151" si="41">IF(F140 &lt;&gt;"", IF(F140 = LARGE($F$127:$F$151,1), F140, ""), "")</f>
        <v/>
      </c>
      <c r="S140" s="36"/>
      <c r="T140" s="22"/>
      <c r="U140" s="22"/>
      <c r="V140" s="36"/>
      <c r="W140" s="36"/>
      <c r="X140" s="36"/>
      <c r="Y140" s="36"/>
      <c r="Z140" s="36"/>
      <c r="AA140" s="50">
        <v>666.5</v>
      </c>
      <c r="AB140" s="51">
        <v>83.55</v>
      </c>
      <c r="AC140" s="52">
        <f t="shared" si="39"/>
        <v>7.8053545770589844E-2</v>
      </c>
      <c r="AE140" s="36"/>
    </row>
    <row r="141" spans="1:91" ht="15" customHeight="1">
      <c r="A141" s="60"/>
      <c r="B141" s="42">
        <f t="shared" ref="B141:B151" si="42">IF(ISNUMBER($G$45),B140-$G$45,"")</f>
        <v>451</v>
      </c>
      <c r="C141" s="569">
        <v>0.68100000000000005</v>
      </c>
      <c r="D141" s="565" t="str">
        <f t="shared" si="40"/>
        <v/>
      </c>
      <c r="E141" s="42">
        <f t="shared" ref="E141:E151" si="43">IF(ISNUMBER($G$45),E140-$K$45,"")</f>
        <v>452</v>
      </c>
      <c r="F141" s="655">
        <v>0.69499999999999995</v>
      </c>
      <c r="G141" s="36" t="str">
        <f t="shared" si="41"/>
        <v/>
      </c>
      <c r="S141" s="22"/>
      <c r="T141" s="22"/>
      <c r="U141" s="22"/>
      <c r="V141" s="22"/>
      <c r="W141" s="22"/>
      <c r="X141" s="22"/>
      <c r="Y141" s="22"/>
      <c r="Z141" s="22"/>
      <c r="AA141" s="50">
        <v>666.4</v>
      </c>
      <c r="AB141" s="51">
        <v>83.391999999999996</v>
      </c>
      <c r="AC141" s="52">
        <f t="shared" si="39"/>
        <v>7.8875610303528146E-2</v>
      </c>
      <c r="AE141" s="22"/>
    </row>
    <row r="142" spans="1:91" ht="15" customHeight="1">
      <c r="A142" s="60"/>
      <c r="B142" s="42">
        <f t="shared" si="42"/>
        <v>450</v>
      </c>
      <c r="C142" s="569">
        <v>0.745</v>
      </c>
      <c r="D142" s="565" t="str">
        <f t="shared" si="40"/>
        <v/>
      </c>
      <c r="E142" s="42">
        <f t="shared" si="43"/>
        <v>451.5</v>
      </c>
      <c r="F142" s="655">
        <v>0.77200000000000002</v>
      </c>
      <c r="G142" s="36" t="str">
        <f t="shared" si="41"/>
        <v/>
      </c>
      <c r="S142" s="22"/>
      <c r="T142" s="22"/>
      <c r="U142" s="22"/>
      <c r="V142" s="22"/>
      <c r="W142" s="22"/>
      <c r="X142" s="22"/>
      <c r="Y142" s="22"/>
      <c r="Z142" s="22"/>
      <c r="AA142" s="50">
        <v>666.3</v>
      </c>
      <c r="AB142" s="51">
        <v>83.197000000000003</v>
      </c>
      <c r="AC142" s="52">
        <f t="shared" si="39"/>
        <v>7.9892333648407796E-2</v>
      </c>
      <c r="AE142" s="22"/>
    </row>
    <row r="143" spans="1:91" ht="15" customHeight="1">
      <c r="A143" s="60"/>
      <c r="B143" s="42">
        <f t="shared" si="42"/>
        <v>449</v>
      </c>
      <c r="C143" s="569">
        <v>0.85399999999999998</v>
      </c>
      <c r="D143" s="565" t="str">
        <f t="shared" si="40"/>
        <v/>
      </c>
      <c r="E143" s="42">
        <f t="shared" si="43"/>
        <v>451</v>
      </c>
      <c r="F143" s="655">
        <v>0.89400000000000002</v>
      </c>
      <c r="G143" s="36" t="str">
        <f t="shared" si="41"/>
        <v/>
      </c>
      <c r="S143" s="22"/>
      <c r="T143" s="22"/>
      <c r="U143" s="22"/>
      <c r="V143" s="22"/>
      <c r="W143" s="22"/>
      <c r="X143" s="22"/>
      <c r="Y143" s="22"/>
      <c r="Z143" s="22"/>
      <c r="AA143" s="50">
        <v>666.2</v>
      </c>
      <c r="AB143" s="51">
        <v>83.015000000000001</v>
      </c>
      <c r="AC143" s="52">
        <f t="shared" si="39"/>
        <v>8.0843427760705563E-2</v>
      </c>
      <c r="AE143" s="22"/>
    </row>
    <row r="144" spans="1:91" ht="15" customHeight="1">
      <c r="A144" s="60"/>
      <c r="B144" s="42">
        <f t="shared" si="42"/>
        <v>448</v>
      </c>
      <c r="C144" s="569">
        <v>1.038</v>
      </c>
      <c r="D144" s="565" t="str">
        <f t="shared" si="40"/>
        <v/>
      </c>
      <c r="E144" s="42">
        <f t="shared" si="43"/>
        <v>450.5</v>
      </c>
      <c r="F144" s="655">
        <v>1.0780000000000001</v>
      </c>
      <c r="G144" s="36" t="str">
        <f t="shared" si="41"/>
        <v/>
      </c>
      <c r="S144" s="22"/>
      <c r="T144" s="22"/>
      <c r="U144" s="22"/>
      <c r="V144" s="22"/>
      <c r="W144" s="22"/>
      <c r="X144" s="22"/>
      <c r="Y144" s="22"/>
      <c r="Z144" s="22"/>
      <c r="AA144" s="50">
        <v>666.1</v>
      </c>
      <c r="AB144" s="51">
        <v>82.831999999999994</v>
      </c>
      <c r="AC144" s="52">
        <f t="shared" si="39"/>
        <v>8.1801852362219291E-2</v>
      </c>
      <c r="AE144" s="22"/>
    </row>
    <row r="145" spans="1:91" ht="15" customHeight="1">
      <c r="A145" s="590" t="s">
        <v>351</v>
      </c>
      <c r="B145" s="42">
        <f t="shared" si="42"/>
        <v>447</v>
      </c>
      <c r="C145" s="569">
        <v>1.125</v>
      </c>
      <c r="D145" s="565">
        <f t="shared" si="40"/>
        <v>1.125</v>
      </c>
      <c r="E145" s="42">
        <f t="shared" si="43"/>
        <v>450</v>
      </c>
      <c r="F145" s="655">
        <v>1.115</v>
      </c>
      <c r="G145" s="36">
        <f t="shared" si="41"/>
        <v>1.115</v>
      </c>
      <c r="S145" s="22"/>
      <c r="T145" s="22"/>
      <c r="U145" s="22"/>
      <c r="V145" s="22"/>
      <c r="W145" s="22"/>
      <c r="X145" s="22"/>
      <c r="Y145" s="22"/>
      <c r="Z145" s="22"/>
      <c r="AA145" s="50">
        <v>666</v>
      </c>
      <c r="AB145" s="51">
        <v>82.712999999999994</v>
      </c>
      <c r="AC145" s="52">
        <f t="shared" si="39"/>
        <v>8.2426227030716281E-2</v>
      </c>
      <c r="AE145" s="22"/>
    </row>
    <row r="146" spans="1:91" ht="15" customHeight="1">
      <c r="A146" s="60"/>
      <c r="B146" s="42">
        <f t="shared" si="42"/>
        <v>446</v>
      </c>
      <c r="C146" s="569"/>
      <c r="D146" s="565" t="str">
        <f t="shared" si="40"/>
        <v/>
      </c>
      <c r="E146" s="42">
        <f t="shared" si="43"/>
        <v>449.5</v>
      </c>
      <c r="F146" s="655">
        <v>0.94199999999999995</v>
      </c>
      <c r="G146" s="36" t="str">
        <f t="shared" si="41"/>
        <v/>
      </c>
      <c r="S146" s="22"/>
      <c r="T146" s="22"/>
      <c r="U146" s="22"/>
      <c r="V146" s="22"/>
      <c r="W146" s="22"/>
      <c r="X146" s="22"/>
      <c r="Y146" s="22"/>
      <c r="Z146" s="22"/>
      <c r="AA146" s="50">
        <v>665.9</v>
      </c>
      <c r="AB146" s="51">
        <v>82.481999999999999</v>
      </c>
      <c r="AC146" s="52">
        <f t="shared" si="39"/>
        <v>8.3640816948193211E-2</v>
      </c>
      <c r="AE146" s="22"/>
    </row>
    <row r="147" spans="1:91" ht="15" customHeight="1">
      <c r="A147" s="60"/>
      <c r="B147" s="42">
        <f t="shared" si="42"/>
        <v>445</v>
      </c>
      <c r="C147" s="569"/>
      <c r="D147" s="565" t="str">
        <f t="shared" si="40"/>
        <v/>
      </c>
      <c r="E147" s="42">
        <f t="shared" si="43"/>
        <v>449</v>
      </c>
      <c r="F147" s="655"/>
      <c r="G147" s="36" t="str">
        <f t="shared" si="41"/>
        <v/>
      </c>
      <c r="S147" s="22"/>
      <c r="T147" s="22"/>
      <c r="U147" s="22"/>
      <c r="V147" s="22"/>
      <c r="W147" s="22"/>
      <c r="X147" s="22"/>
      <c r="Y147" s="22"/>
      <c r="Z147" s="22"/>
      <c r="AA147" s="50">
        <v>665.8</v>
      </c>
      <c r="AB147" s="51">
        <v>82.353999999999999</v>
      </c>
      <c r="AC147" s="52">
        <f t="shared" si="39"/>
        <v>8.4315301949735494E-2</v>
      </c>
      <c r="AE147" s="22"/>
    </row>
    <row r="148" spans="1:91" ht="15" customHeight="1">
      <c r="A148" s="60"/>
      <c r="B148" s="42">
        <f t="shared" si="42"/>
        <v>444</v>
      </c>
      <c r="C148" s="569"/>
      <c r="D148" s="565" t="str">
        <f t="shared" si="40"/>
        <v/>
      </c>
      <c r="E148" s="42">
        <f t="shared" si="43"/>
        <v>448.5</v>
      </c>
      <c r="F148" s="655"/>
      <c r="G148" s="36" t="str">
        <f t="shared" si="41"/>
        <v/>
      </c>
      <c r="S148" s="22"/>
      <c r="T148" s="22"/>
      <c r="U148" s="22"/>
      <c r="V148" s="22"/>
      <c r="W148" s="22"/>
      <c r="X148" s="22"/>
      <c r="Y148" s="22"/>
      <c r="Z148" s="22"/>
      <c r="AA148" s="50">
        <v>665.7</v>
      </c>
      <c r="AB148" s="51">
        <v>82.269000000000005</v>
      </c>
      <c r="AC148" s="52">
        <f t="shared" si="39"/>
        <v>8.4763781618339071E-2</v>
      </c>
      <c r="AE148" s="22"/>
    </row>
    <row r="149" spans="1:91" ht="15" customHeight="1">
      <c r="A149" s="60"/>
      <c r="B149" s="42">
        <f t="shared" si="42"/>
        <v>443</v>
      </c>
      <c r="C149" s="569"/>
      <c r="D149" s="565" t="str">
        <f t="shared" si="40"/>
        <v/>
      </c>
      <c r="E149" s="42">
        <f t="shared" si="43"/>
        <v>448</v>
      </c>
      <c r="F149" s="655"/>
      <c r="G149" s="36" t="str">
        <f t="shared" si="41"/>
        <v/>
      </c>
      <c r="S149" s="22"/>
      <c r="T149" s="22"/>
      <c r="U149" s="22"/>
      <c r="V149" s="22"/>
      <c r="W149" s="22"/>
      <c r="X149" s="22"/>
      <c r="Y149" s="22"/>
      <c r="Z149" s="22"/>
      <c r="AA149" s="50">
        <v>665.6</v>
      </c>
      <c r="AB149" s="51">
        <v>82.14</v>
      </c>
      <c r="AC149" s="52">
        <f t="shared" si="39"/>
        <v>8.544530148236637E-2</v>
      </c>
      <c r="AE149" s="22"/>
    </row>
    <row r="150" spans="1:91" ht="15" customHeight="1">
      <c r="A150" s="60"/>
      <c r="B150" s="42">
        <f t="shared" si="42"/>
        <v>442</v>
      </c>
      <c r="C150" s="569"/>
      <c r="D150" s="565" t="str">
        <f t="shared" si="40"/>
        <v/>
      </c>
      <c r="E150" s="42">
        <f t="shared" si="43"/>
        <v>447.5</v>
      </c>
      <c r="F150" s="655"/>
      <c r="G150" s="36" t="str">
        <f t="shared" si="41"/>
        <v/>
      </c>
      <c r="S150" s="22"/>
      <c r="T150" s="22"/>
      <c r="U150" s="22"/>
      <c r="V150" s="22"/>
      <c r="W150" s="22"/>
      <c r="X150" s="22"/>
      <c r="Y150" s="22"/>
      <c r="Z150" s="22"/>
      <c r="AA150" s="50">
        <v>665.5</v>
      </c>
      <c r="AB150" s="51">
        <v>82.171000000000006</v>
      </c>
      <c r="AC150" s="52">
        <f t="shared" si="39"/>
        <v>8.5281427741731322E-2</v>
      </c>
      <c r="AE150" s="22"/>
    </row>
    <row r="151" spans="1:91" ht="15" customHeight="1" thickBot="1">
      <c r="A151" s="43"/>
      <c r="B151" s="47">
        <f t="shared" si="42"/>
        <v>441</v>
      </c>
      <c r="C151" s="570"/>
      <c r="D151" s="566" t="str">
        <f t="shared" si="40"/>
        <v/>
      </c>
      <c r="E151" s="47">
        <f t="shared" si="43"/>
        <v>447</v>
      </c>
      <c r="F151" s="661"/>
      <c r="G151" s="571" t="str">
        <f t="shared" si="41"/>
        <v/>
      </c>
      <c r="S151" s="22"/>
      <c r="T151" s="22"/>
      <c r="U151" s="22"/>
      <c r="V151" s="22"/>
      <c r="W151" s="22"/>
      <c r="X151" s="22"/>
      <c r="Y151" s="22"/>
      <c r="Z151" s="22"/>
      <c r="AA151" s="50">
        <v>665.4</v>
      </c>
      <c r="AB151" s="51">
        <v>81.930999999999997</v>
      </c>
      <c r="AC151" s="52">
        <f t="shared" si="39"/>
        <v>8.6551744373711478E-2</v>
      </c>
      <c r="AE151" s="22"/>
    </row>
    <row r="152" spans="1:91" ht="15" customHeight="1" thickTop="1">
      <c r="A152" s="60"/>
      <c r="B152" s="44">
        <f t="shared" ref="B152:B162" si="44">IF(ISNUMBER($G$45),B153+$G$45,"")</f>
        <v>458</v>
      </c>
      <c r="C152" s="567"/>
      <c r="D152" s="565" t="str">
        <f t="shared" ref="D152:D163" si="45">IF(C152&lt;&gt;"",IF(C152=LARGE($C$152:$C$176,1),C152,""),"")</f>
        <v/>
      </c>
      <c r="E152" s="42">
        <f t="shared" ref="E152:E162" si="46">IF(ISNUMBER($G$45),E153+$K$45,"")</f>
        <v>452</v>
      </c>
      <c r="F152" s="660"/>
      <c r="G152" s="36" t="str">
        <f t="shared" ref="G152:G163" si="47">IF(F152 &lt;&gt;"", IF(F152 = LARGE($F$152:$F$176,1), F152, ""), "")</f>
        <v/>
      </c>
      <c r="S152" s="22"/>
      <c r="T152" s="22"/>
      <c r="U152" s="22"/>
      <c r="V152" s="22"/>
      <c r="W152" s="22"/>
      <c r="X152" s="22"/>
      <c r="Y152" s="22"/>
      <c r="Z152" s="22"/>
      <c r="AA152" s="50">
        <v>665.3</v>
      </c>
      <c r="AB152" s="51">
        <v>81.78</v>
      </c>
      <c r="AC152" s="52">
        <f t="shared" si="39"/>
        <v>8.735289378168283E-2</v>
      </c>
      <c r="AE152" s="22"/>
    </row>
    <row r="153" spans="1:91" ht="15" customHeight="1" thickBot="1">
      <c r="A153" s="60"/>
      <c r="B153" s="42">
        <f t="shared" si="44"/>
        <v>457</v>
      </c>
      <c r="C153" s="568"/>
      <c r="D153" s="565" t="str">
        <f t="shared" si="45"/>
        <v/>
      </c>
      <c r="E153" s="42">
        <f t="shared" si="46"/>
        <v>451.5</v>
      </c>
      <c r="F153" s="655"/>
      <c r="G153" s="36" t="str">
        <f t="shared" si="47"/>
        <v/>
      </c>
      <c r="S153" s="22"/>
      <c r="T153" s="22"/>
      <c r="U153" s="589" t="s">
        <v>341</v>
      </c>
      <c r="V153" s="22"/>
      <c r="W153" s="22"/>
      <c r="X153" s="22"/>
      <c r="Y153" s="22"/>
      <c r="Z153" s="22"/>
      <c r="AA153" s="50">
        <v>665.2</v>
      </c>
      <c r="AB153" s="51">
        <v>81.650000000000006</v>
      </c>
      <c r="AC153" s="52">
        <f t="shared" si="39"/>
        <v>8.8043810927313032E-2</v>
      </c>
      <c r="AE153" s="22"/>
    </row>
    <row r="154" spans="1:91" ht="15" customHeight="1">
      <c r="A154" s="60"/>
      <c r="B154" s="42">
        <f t="shared" si="44"/>
        <v>456</v>
      </c>
      <c r="C154" s="568"/>
      <c r="D154" s="565" t="str">
        <f t="shared" si="45"/>
        <v/>
      </c>
      <c r="E154" s="42">
        <f t="shared" si="46"/>
        <v>451</v>
      </c>
      <c r="F154" s="655"/>
      <c r="G154" s="36" t="str">
        <f t="shared" si="47"/>
        <v/>
      </c>
      <c r="S154" s="22"/>
      <c r="T154" s="22"/>
      <c r="U154" s="103" t="s">
        <v>88</v>
      </c>
      <c r="V154" s="104" t="s">
        <v>89</v>
      </c>
      <c r="W154" s="105" t="s">
        <v>90</v>
      </c>
      <c r="X154" s="104" t="s">
        <v>91</v>
      </c>
      <c r="Y154" s="106" t="s">
        <v>96</v>
      </c>
      <c r="Z154" s="22"/>
      <c r="AA154" s="50">
        <v>665.1</v>
      </c>
      <c r="AB154" s="51">
        <v>81.503</v>
      </c>
      <c r="AC154" s="52">
        <f t="shared" si="39"/>
        <v>8.8826405254295165E-2</v>
      </c>
      <c r="AD154" s="746" t="s">
        <v>95</v>
      </c>
      <c r="AE154" s="50">
        <v>440</v>
      </c>
      <c r="AF154" s="50">
        <f t="shared" ref="AF154:CM154" si="48">AE154+0.2</f>
        <v>440.2</v>
      </c>
      <c r="AG154" s="50">
        <f t="shared" si="48"/>
        <v>440.4</v>
      </c>
      <c r="AH154" s="50">
        <f t="shared" si="48"/>
        <v>440.59999999999997</v>
      </c>
      <c r="AI154" s="50">
        <f t="shared" si="48"/>
        <v>440.79999999999995</v>
      </c>
      <c r="AJ154" s="50">
        <f t="shared" si="48"/>
        <v>440.99999999999994</v>
      </c>
      <c r="AK154" s="50">
        <f t="shared" si="48"/>
        <v>441.19999999999993</v>
      </c>
      <c r="AL154" s="50">
        <f t="shared" si="48"/>
        <v>441.39999999999992</v>
      </c>
      <c r="AM154" s="50">
        <f t="shared" si="48"/>
        <v>441.59999999999991</v>
      </c>
      <c r="AN154" s="50">
        <f t="shared" si="48"/>
        <v>441.7999999999999</v>
      </c>
      <c r="AO154" s="50">
        <f t="shared" si="48"/>
        <v>441.99999999999989</v>
      </c>
      <c r="AP154" s="50">
        <f t="shared" si="48"/>
        <v>442.19999999999987</v>
      </c>
      <c r="AQ154" s="50">
        <f t="shared" si="48"/>
        <v>442.39999999999986</v>
      </c>
      <c r="AR154" s="50">
        <f t="shared" si="48"/>
        <v>442.59999999999985</v>
      </c>
      <c r="AS154" s="50">
        <f t="shared" si="48"/>
        <v>442.79999999999984</v>
      </c>
      <c r="AT154" s="50">
        <f t="shared" si="48"/>
        <v>442.99999999999983</v>
      </c>
      <c r="AU154" s="50">
        <f t="shared" si="48"/>
        <v>443.19999999999982</v>
      </c>
      <c r="AV154" s="50">
        <f t="shared" si="48"/>
        <v>443.39999999999981</v>
      </c>
      <c r="AW154" s="50">
        <f t="shared" si="48"/>
        <v>443.5999999999998</v>
      </c>
      <c r="AX154" s="50">
        <f t="shared" si="48"/>
        <v>443.79999999999978</v>
      </c>
      <c r="AY154" s="50">
        <f t="shared" si="48"/>
        <v>443.99999999999977</v>
      </c>
      <c r="AZ154" s="50">
        <f t="shared" si="48"/>
        <v>444.19999999999976</v>
      </c>
      <c r="BA154" s="50">
        <f t="shared" si="48"/>
        <v>444.39999999999975</v>
      </c>
      <c r="BB154" s="50">
        <f t="shared" si="48"/>
        <v>444.59999999999974</v>
      </c>
      <c r="BC154" s="50">
        <f t="shared" si="48"/>
        <v>444.79999999999973</v>
      </c>
      <c r="BD154" s="50">
        <f t="shared" si="48"/>
        <v>444.99999999999972</v>
      </c>
      <c r="BE154" s="50">
        <f t="shared" si="48"/>
        <v>445.1999999999997</v>
      </c>
      <c r="BF154" s="50">
        <f t="shared" si="48"/>
        <v>445.39999999999969</v>
      </c>
      <c r="BG154" s="50">
        <f t="shared" si="48"/>
        <v>445.59999999999968</v>
      </c>
      <c r="BH154" s="50">
        <f t="shared" si="48"/>
        <v>445.79999999999967</v>
      </c>
      <c r="BI154" s="50">
        <f t="shared" si="48"/>
        <v>445.99999999999966</v>
      </c>
      <c r="BJ154" s="50">
        <f t="shared" si="48"/>
        <v>446.19999999999965</v>
      </c>
      <c r="BK154" s="50">
        <f t="shared" si="48"/>
        <v>446.39999999999964</v>
      </c>
      <c r="BL154" s="50">
        <f t="shared" si="48"/>
        <v>446.59999999999962</v>
      </c>
      <c r="BM154" s="50">
        <f t="shared" si="48"/>
        <v>446.79999999999961</v>
      </c>
      <c r="BN154" s="50">
        <f t="shared" si="48"/>
        <v>446.9999999999996</v>
      </c>
      <c r="BO154" s="50">
        <f t="shared" si="48"/>
        <v>447.19999999999959</v>
      </c>
      <c r="BP154" s="50">
        <f t="shared" si="48"/>
        <v>447.39999999999958</v>
      </c>
      <c r="BQ154" s="50">
        <f t="shared" si="48"/>
        <v>447.59999999999957</v>
      </c>
      <c r="BR154" s="50">
        <f t="shared" si="48"/>
        <v>447.79999999999956</v>
      </c>
      <c r="BS154" s="50">
        <f t="shared" si="48"/>
        <v>447.99999999999955</v>
      </c>
      <c r="BT154" s="50">
        <f t="shared" si="48"/>
        <v>448.19999999999953</v>
      </c>
      <c r="BU154" s="50">
        <f t="shared" si="48"/>
        <v>448.39999999999952</v>
      </c>
      <c r="BV154" s="50">
        <f t="shared" si="48"/>
        <v>448.59999999999951</v>
      </c>
      <c r="BW154" s="50">
        <f t="shared" si="48"/>
        <v>448.7999999999995</v>
      </c>
      <c r="BX154" s="50">
        <f t="shared" si="48"/>
        <v>448.99999999999949</v>
      </c>
      <c r="BY154" s="50">
        <f t="shared" si="48"/>
        <v>449.19999999999948</v>
      </c>
      <c r="BZ154" s="50">
        <f t="shared" si="48"/>
        <v>449.39999999999947</v>
      </c>
      <c r="CA154" s="50">
        <f t="shared" si="48"/>
        <v>449.59999999999945</v>
      </c>
      <c r="CB154" s="50">
        <f t="shared" si="48"/>
        <v>449.79999999999944</v>
      </c>
      <c r="CC154" s="50">
        <f t="shared" si="48"/>
        <v>449.99999999999943</v>
      </c>
      <c r="CD154" s="50">
        <f t="shared" si="48"/>
        <v>450.19999999999942</v>
      </c>
      <c r="CE154" s="50">
        <f t="shared" si="48"/>
        <v>450.39999999999941</v>
      </c>
      <c r="CF154" s="50">
        <f t="shared" si="48"/>
        <v>450.5999999999994</v>
      </c>
      <c r="CG154" s="50">
        <f t="shared" si="48"/>
        <v>450.79999999999939</v>
      </c>
      <c r="CH154" s="50">
        <f t="shared" si="48"/>
        <v>450.99999999999937</v>
      </c>
      <c r="CI154" s="50">
        <f t="shared" si="48"/>
        <v>451.19999999999936</v>
      </c>
      <c r="CJ154" s="50">
        <f t="shared" si="48"/>
        <v>451.39999999999935</v>
      </c>
      <c r="CK154" s="50">
        <f t="shared" si="48"/>
        <v>451.59999999999934</v>
      </c>
      <c r="CL154" s="50">
        <f t="shared" si="48"/>
        <v>451.79999999999933</v>
      </c>
      <c r="CM154" s="50">
        <f t="shared" si="48"/>
        <v>451.99999999999932</v>
      </c>
    </row>
    <row r="155" spans="1:91" ht="15" customHeight="1" thickBot="1">
      <c r="A155" s="60"/>
      <c r="B155" s="42">
        <f t="shared" si="44"/>
        <v>455</v>
      </c>
      <c r="C155" s="568"/>
      <c r="D155" s="565" t="str">
        <f t="shared" si="45"/>
        <v/>
      </c>
      <c r="E155" s="42">
        <f t="shared" si="46"/>
        <v>450.5</v>
      </c>
      <c r="F155" s="655"/>
      <c r="G155" s="36" t="str">
        <f t="shared" si="47"/>
        <v/>
      </c>
      <c r="S155" s="22"/>
      <c r="T155" s="22"/>
      <c r="U155" s="114">
        <v>450.6</v>
      </c>
      <c r="V155" s="116">
        <v>0.68140000000000001</v>
      </c>
      <c r="W155" s="115">
        <v>445.6</v>
      </c>
      <c r="X155" s="116">
        <v>3.1204999999999998</v>
      </c>
      <c r="Y155" s="107">
        <f>(V155 + X155)/2</f>
        <v>1.9009499999999999</v>
      </c>
      <c r="Z155" s="22"/>
      <c r="AA155" s="50">
        <v>665</v>
      </c>
      <c r="AB155" s="51">
        <v>81.337000000000003</v>
      </c>
      <c r="AC155" s="52">
        <f t="shared" si="39"/>
        <v>8.9711849972652261E-2</v>
      </c>
      <c r="AD155" s="746"/>
      <c r="AE155" s="52">
        <f>$Y155</f>
        <v>1.9009499999999999</v>
      </c>
      <c r="AF155" s="52">
        <f t="shared" ref="AF155:CM155" si="49">AE155</f>
        <v>1.9009499999999999</v>
      </c>
      <c r="AG155" s="52">
        <f t="shared" si="49"/>
        <v>1.9009499999999999</v>
      </c>
      <c r="AH155" s="52">
        <f t="shared" si="49"/>
        <v>1.9009499999999999</v>
      </c>
      <c r="AI155" s="52">
        <f t="shared" si="49"/>
        <v>1.9009499999999999</v>
      </c>
      <c r="AJ155" s="52">
        <f t="shared" si="49"/>
        <v>1.9009499999999999</v>
      </c>
      <c r="AK155" s="52">
        <f t="shared" si="49"/>
        <v>1.9009499999999999</v>
      </c>
      <c r="AL155" s="52">
        <f t="shared" si="49"/>
        <v>1.9009499999999999</v>
      </c>
      <c r="AM155" s="52">
        <f t="shared" si="49"/>
        <v>1.9009499999999999</v>
      </c>
      <c r="AN155" s="52">
        <f t="shared" si="49"/>
        <v>1.9009499999999999</v>
      </c>
      <c r="AO155" s="52">
        <f t="shared" si="49"/>
        <v>1.9009499999999999</v>
      </c>
      <c r="AP155" s="52">
        <f t="shared" si="49"/>
        <v>1.9009499999999999</v>
      </c>
      <c r="AQ155" s="52">
        <f t="shared" si="49"/>
        <v>1.9009499999999999</v>
      </c>
      <c r="AR155" s="52">
        <f t="shared" si="49"/>
        <v>1.9009499999999999</v>
      </c>
      <c r="AS155" s="52">
        <f t="shared" si="49"/>
        <v>1.9009499999999999</v>
      </c>
      <c r="AT155" s="52">
        <f t="shared" si="49"/>
        <v>1.9009499999999999</v>
      </c>
      <c r="AU155" s="52">
        <f t="shared" si="49"/>
        <v>1.9009499999999999</v>
      </c>
      <c r="AV155" s="52">
        <f t="shared" si="49"/>
        <v>1.9009499999999999</v>
      </c>
      <c r="AW155" s="52">
        <f t="shared" si="49"/>
        <v>1.9009499999999999</v>
      </c>
      <c r="AX155" s="52">
        <f t="shared" si="49"/>
        <v>1.9009499999999999</v>
      </c>
      <c r="AY155" s="52">
        <f t="shared" si="49"/>
        <v>1.9009499999999999</v>
      </c>
      <c r="AZ155" s="52">
        <f t="shared" si="49"/>
        <v>1.9009499999999999</v>
      </c>
      <c r="BA155" s="52">
        <f t="shared" si="49"/>
        <v>1.9009499999999999</v>
      </c>
      <c r="BB155" s="52">
        <f t="shared" si="49"/>
        <v>1.9009499999999999</v>
      </c>
      <c r="BC155" s="52">
        <f t="shared" si="49"/>
        <v>1.9009499999999999</v>
      </c>
      <c r="BD155" s="52">
        <f t="shared" si="49"/>
        <v>1.9009499999999999</v>
      </c>
      <c r="BE155" s="52">
        <f t="shared" si="49"/>
        <v>1.9009499999999999</v>
      </c>
      <c r="BF155" s="52">
        <f t="shared" si="49"/>
        <v>1.9009499999999999</v>
      </c>
      <c r="BG155" s="52">
        <f t="shared" si="49"/>
        <v>1.9009499999999999</v>
      </c>
      <c r="BH155" s="52">
        <f t="shared" si="49"/>
        <v>1.9009499999999999</v>
      </c>
      <c r="BI155" s="52">
        <f t="shared" si="49"/>
        <v>1.9009499999999999</v>
      </c>
      <c r="BJ155" s="52">
        <f t="shared" si="49"/>
        <v>1.9009499999999999</v>
      </c>
      <c r="BK155" s="52">
        <f t="shared" si="49"/>
        <v>1.9009499999999999</v>
      </c>
      <c r="BL155" s="52">
        <f t="shared" si="49"/>
        <v>1.9009499999999999</v>
      </c>
      <c r="BM155" s="52">
        <f t="shared" si="49"/>
        <v>1.9009499999999999</v>
      </c>
      <c r="BN155" s="52">
        <f t="shared" si="49"/>
        <v>1.9009499999999999</v>
      </c>
      <c r="BO155" s="52">
        <f t="shared" si="49"/>
        <v>1.9009499999999999</v>
      </c>
      <c r="BP155" s="52">
        <f t="shared" si="49"/>
        <v>1.9009499999999999</v>
      </c>
      <c r="BQ155" s="52">
        <f t="shared" si="49"/>
        <v>1.9009499999999999</v>
      </c>
      <c r="BR155" s="52">
        <f t="shared" si="49"/>
        <v>1.9009499999999999</v>
      </c>
      <c r="BS155" s="52">
        <f t="shared" si="49"/>
        <v>1.9009499999999999</v>
      </c>
      <c r="BT155" s="52">
        <f t="shared" si="49"/>
        <v>1.9009499999999999</v>
      </c>
      <c r="BU155" s="52">
        <f t="shared" si="49"/>
        <v>1.9009499999999999</v>
      </c>
      <c r="BV155" s="52">
        <f t="shared" si="49"/>
        <v>1.9009499999999999</v>
      </c>
      <c r="BW155" s="52">
        <f t="shared" si="49"/>
        <v>1.9009499999999999</v>
      </c>
      <c r="BX155" s="52">
        <f t="shared" si="49"/>
        <v>1.9009499999999999</v>
      </c>
      <c r="BY155" s="52">
        <f t="shared" si="49"/>
        <v>1.9009499999999999</v>
      </c>
      <c r="BZ155" s="52">
        <f t="shared" si="49"/>
        <v>1.9009499999999999</v>
      </c>
      <c r="CA155" s="52">
        <f t="shared" si="49"/>
        <v>1.9009499999999999</v>
      </c>
      <c r="CB155" s="52">
        <f t="shared" si="49"/>
        <v>1.9009499999999999</v>
      </c>
      <c r="CC155" s="52">
        <f t="shared" si="49"/>
        <v>1.9009499999999999</v>
      </c>
      <c r="CD155" s="52">
        <f t="shared" si="49"/>
        <v>1.9009499999999999</v>
      </c>
      <c r="CE155" s="52">
        <f t="shared" si="49"/>
        <v>1.9009499999999999</v>
      </c>
      <c r="CF155" s="52">
        <f t="shared" si="49"/>
        <v>1.9009499999999999</v>
      </c>
      <c r="CG155" s="52">
        <f t="shared" si="49"/>
        <v>1.9009499999999999</v>
      </c>
      <c r="CH155" s="52">
        <f t="shared" si="49"/>
        <v>1.9009499999999999</v>
      </c>
      <c r="CI155" s="52">
        <f t="shared" si="49"/>
        <v>1.9009499999999999</v>
      </c>
      <c r="CJ155" s="52">
        <f t="shared" si="49"/>
        <v>1.9009499999999999</v>
      </c>
      <c r="CK155" s="52">
        <f t="shared" si="49"/>
        <v>1.9009499999999999</v>
      </c>
      <c r="CL155" s="52">
        <f t="shared" si="49"/>
        <v>1.9009499999999999</v>
      </c>
      <c r="CM155" s="52">
        <f t="shared" si="49"/>
        <v>1.9009499999999999</v>
      </c>
    </row>
    <row r="156" spans="1:91" ht="15" customHeight="1">
      <c r="A156" s="46"/>
      <c r="B156" s="42">
        <f t="shared" si="44"/>
        <v>454</v>
      </c>
      <c r="C156" s="568"/>
      <c r="D156" s="565" t="str">
        <f t="shared" si="45"/>
        <v/>
      </c>
      <c r="E156" s="42">
        <f t="shared" si="46"/>
        <v>450</v>
      </c>
      <c r="F156" s="655"/>
      <c r="G156" s="36" t="str">
        <f t="shared" si="47"/>
        <v/>
      </c>
      <c r="S156" s="22"/>
      <c r="T156" s="22"/>
      <c r="Z156" s="22"/>
      <c r="AA156" s="50">
        <v>664.9</v>
      </c>
      <c r="AB156" s="51">
        <v>81.153999999999996</v>
      </c>
      <c r="AC156" s="52">
        <f t="shared" si="39"/>
        <v>9.0690069366831022E-2</v>
      </c>
      <c r="AE156" s="22"/>
    </row>
    <row r="157" spans="1:91" ht="15" customHeight="1" thickBot="1">
      <c r="A157" s="46"/>
      <c r="B157" s="42">
        <f t="shared" si="44"/>
        <v>453</v>
      </c>
      <c r="C157" s="568">
        <v>0.68</v>
      </c>
      <c r="D157" s="565" t="str">
        <f t="shared" si="45"/>
        <v/>
      </c>
      <c r="E157" s="42">
        <f t="shared" si="46"/>
        <v>449.5</v>
      </c>
      <c r="F157" s="655">
        <v>0.67500000000000004</v>
      </c>
      <c r="G157" s="36" t="str">
        <f t="shared" si="47"/>
        <v/>
      </c>
      <c r="S157" s="22"/>
      <c r="T157" s="22"/>
      <c r="Z157" s="22"/>
      <c r="AA157" s="50">
        <v>664.8</v>
      </c>
      <c r="AB157" s="51">
        <v>81.063000000000002</v>
      </c>
      <c r="AC157" s="52">
        <f t="shared" si="39"/>
        <v>9.1177327816917744E-2</v>
      </c>
      <c r="AE157" s="22"/>
    </row>
    <row r="158" spans="1:91" ht="15" customHeight="1">
      <c r="A158" s="590" t="s">
        <v>352</v>
      </c>
      <c r="B158" s="42">
        <f t="shared" si="44"/>
        <v>452</v>
      </c>
      <c r="C158" s="568">
        <v>0.66400000000000003</v>
      </c>
      <c r="D158" s="565" t="str">
        <f t="shared" si="45"/>
        <v/>
      </c>
      <c r="E158" s="42">
        <f t="shared" si="46"/>
        <v>449</v>
      </c>
      <c r="F158" s="655">
        <v>0.66400000000000003</v>
      </c>
      <c r="G158" s="36" t="str">
        <f t="shared" si="47"/>
        <v/>
      </c>
      <c r="U158" s="95" t="s">
        <v>87</v>
      </c>
      <c r="V158" s="96">
        <f>X159 - X158</f>
        <v>3.2000000000000455</v>
      </c>
      <c r="W158" s="97" t="s">
        <v>92</v>
      </c>
      <c r="X158" s="117">
        <v>444.4</v>
      </c>
      <c r="Y158" s="98" t="s">
        <v>53</v>
      </c>
      <c r="AA158" s="50">
        <v>664.7</v>
      </c>
      <c r="AB158" s="51">
        <v>80.980999999999995</v>
      </c>
      <c r="AC158" s="52">
        <f t="shared" si="39"/>
        <v>9.1616864616254082E-2</v>
      </c>
    </row>
    <row r="159" spans="1:91" ht="15" customHeight="1" thickBot="1">
      <c r="A159" s="46"/>
      <c r="B159" s="42">
        <f t="shared" si="44"/>
        <v>451</v>
      </c>
      <c r="C159" s="569">
        <v>0.68100000000000005</v>
      </c>
      <c r="D159" s="565" t="str">
        <f t="shared" si="45"/>
        <v/>
      </c>
      <c r="E159" s="42">
        <f t="shared" si="46"/>
        <v>448.5</v>
      </c>
      <c r="F159" s="655">
        <v>0.69499999999999995</v>
      </c>
      <c r="G159" s="36" t="str">
        <f t="shared" si="47"/>
        <v/>
      </c>
      <c r="M159" s="31"/>
      <c r="U159" s="99" t="s">
        <v>93</v>
      </c>
      <c r="V159" s="100">
        <f>X155 - Y155</f>
        <v>1.2195499999999999</v>
      </c>
      <c r="W159" s="101" t="s">
        <v>94</v>
      </c>
      <c r="X159" s="118">
        <v>447.6</v>
      </c>
      <c r="Y159" s="102" t="s">
        <v>53</v>
      </c>
      <c r="AA159" s="50">
        <v>664.6</v>
      </c>
      <c r="AB159" s="51">
        <v>80.863</v>
      </c>
      <c r="AC159" s="52">
        <f t="shared" si="39"/>
        <v>9.2250150471092238E-2</v>
      </c>
    </row>
    <row r="160" spans="1:91" ht="15" customHeight="1">
      <c r="A160" s="46"/>
      <c r="B160" s="42">
        <f t="shared" si="44"/>
        <v>450</v>
      </c>
      <c r="C160" s="569">
        <v>0.745</v>
      </c>
      <c r="D160" s="565" t="str">
        <f t="shared" si="45"/>
        <v/>
      </c>
      <c r="E160" s="42">
        <f t="shared" si="46"/>
        <v>448</v>
      </c>
      <c r="F160" s="655">
        <v>0.77200000000000002</v>
      </c>
      <c r="G160" s="36" t="str">
        <f t="shared" si="47"/>
        <v/>
      </c>
      <c r="M160" s="31"/>
      <c r="AA160" s="50">
        <v>664.5</v>
      </c>
      <c r="AB160" s="51">
        <v>80.75</v>
      </c>
      <c r="AC160" s="52">
        <f t="shared" si="39"/>
        <v>9.2857468996859496E-2</v>
      </c>
    </row>
    <row r="161" spans="1:29" ht="15" customHeight="1">
      <c r="A161" s="46"/>
      <c r="B161" s="42">
        <f t="shared" si="44"/>
        <v>449</v>
      </c>
      <c r="C161" s="569">
        <v>0.85399999999999998</v>
      </c>
      <c r="D161" s="565" t="str">
        <f t="shared" si="45"/>
        <v/>
      </c>
      <c r="E161" s="42">
        <f t="shared" si="46"/>
        <v>447.5</v>
      </c>
      <c r="F161" s="655">
        <v>0.89400000000000002</v>
      </c>
      <c r="G161" s="36" t="str">
        <f t="shared" si="47"/>
        <v/>
      </c>
      <c r="M161" s="31"/>
      <c r="AA161" s="50">
        <v>664.4</v>
      </c>
      <c r="AB161" s="51">
        <v>80.635999999999996</v>
      </c>
      <c r="AC161" s="52">
        <f t="shared" si="39"/>
        <v>9.3471023817867996E-2</v>
      </c>
    </row>
    <row r="162" spans="1:29" ht="15" customHeight="1">
      <c r="A162" s="46"/>
      <c r="B162" s="42">
        <f t="shared" si="44"/>
        <v>448</v>
      </c>
      <c r="C162" s="569">
        <v>1.038</v>
      </c>
      <c r="D162" s="565" t="str">
        <f t="shared" si="45"/>
        <v/>
      </c>
      <c r="E162" s="42">
        <f t="shared" si="46"/>
        <v>447</v>
      </c>
      <c r="F162" s="655">
        <v>1.0780000000000001</v>
      </c>
      <c r="G162" s="36" t="str">
        <f t="shared" si="47"/>
        <v/>
      </c>
      <c r="I162" s="31"/>
      <c r="J162" s="31"/>
      <c r="K162" s="31"/>
      <c r="L162" s="31"/>
      <c r="M162" s="31"/>
      <c r="AA162" s="50">
        <v>664.3</v>
      </c>
      <c r="AB162" s="51">
        <v>80.546999999999997</v>
      </c>
      <c r="AC162" s="52">
        <f t="shared" si="39"/>
        <v>9.3950630387017314E-2</v>
      </c>
    </row>
    <row r="163" spans="1:29" ht="15" customHeight="1">
      <c r="A163" s="59" t="s">
        <v>341</v>
      </c>
      <c r="B163" s="42">
        <f>IF(ISNUMBER($G$45),B164+$G$45,"")</f>
        <v>447</v>
      </c>
      <c r="C163" s="569">
        <v>1.125</v>
      </c>
      <c r="D163" s="565">
        <f t="shared" si="45"/>
        <v>1.125</v>
      </c>
      <c r="E163" s="42">
        <f>IF(ISNUMBER($G$45),E164+$K$45,"")</f>
        <v>446.5</v>
      </c>
      <c r="F163" s="655">
        <v>1.115</v>
      </c>
      <c r="G163" s="36">
        <f t="shared" si="47"/>
        <v>1.115</v>
      </c>
      <c r="I163" s="31"/>
      <c r="J163" s="31"/>
      <c r="K163" s="31"/>
      <c r="L163" s="31"/>
      <c r="M163" s="31"/>
      <c r="AA163" s="50">
        <v>664.2</v>
      </c>
      <c r="AB163" s="51">
        <v>80.456000000000003</v>
      </c>
      <c r="AC163" s="52">
        <f t="shared" si="39"/>
        <v>9.4441562879723884E-2</v>
      </c>
    </row>
    <row r="164" spans="1:29" ht="15" customHeight="1">
      <c r="A164" s="45">
        <v>446.13</v>
      </c>
      <c r="B164" s="121">
        <v>446</v>
      </c>
      <c r="C164" s="569">
        <v>1.0089999999999999</v>
      </c>
      <c r="D164" s="565" t="str">
        <f>IF(C164&lt;&gt;"",IF(C164=LARGE($C$152:$C$176,1),C164,""),"")</f>
        <v/>
      </c>
      <c r="E164" s="121">
        <v>446</v>
      </c>
      <c r="F164" s="655">
        <v>0.94199999999999995</v>
      </c>
      <c r="G164" s="36" t="str">
        <f>IF(F164 &lt;&gt;"", IF(F164 = LARGE($F$152:$F$176,1), F164, ""), "")</f>
        <v/>
      </c>
      <c r="I164" s="31"/>
      <c r="J164" s="31"/>
      <c r="K164" s="31"/>
      <c r="L164" s="31"/>
      <c r="M164" s="31"/>
      <c r="AA164" s="50">
        <v>664.1</v>
      </c>
      <c r="AB164" s="51">
        <v>80.266000000000005</v>
      </c>
      <c r="AC164" s="52">
        <f t="shared" si="39"/>
        <v>9.5468379245880974E-2</v>
      </c>
    </row>
    <row r="165" spans="1:29" ht="15" customHeight="1">
      <c r="A165" s="46"/>
      <c r="B165" s="42">
        <f>IF(ISNUMBER($G$45),B164-$G$45,"")</f>
        <v>445</v>
      </c>
      <c r="C165" s="569">
        <v>0.69299999999999995</v>
      </c>
      <c r="D165" s="565" t="str">
        <f t="shared" ref="D165:D176" si="50">IF(C165&lt;&gt;"",IF(C165=LARGE($C$152:$C$176,1),C165,""),"")</f>
        <v/>
      </c>
      <c r="E165" s="42">
        <f>IF(ISNUMBER($G$45),E164-$K$45,"")</f>
        <v>445.5</v>
      </c>
      <c r="F165" s="655">
        <v>0.626</v>
      </c>
      <c r="G165" s="36" t="str">
        <f t="shared" ref="G165:G176" si="51">IF(F165 &lt;&gt;"", IF(F165 = LARGE($F$152:$F$176,1), F165, ""), "")</f>
        <v/>
      </c>
      <c r="M165" s="31"/>
      <c r="AA165" s="50">
        <v>664</v>
      </c>
      <c r="AB165" s="51">
        <v>80.123000000000005</v>
      </c>
      <c r="AC165" s="52">
        <f t="shared" si="39"/>
        <v>9.6242798032307578E-2</v>
      </c>
    </row>
    <row r="166" spans="1:29" ht="15" customHeight="1">
      <c r="A166" s="46"/>
      <c r="B166" s="42">
        <f t="shared" ref="B166:B176" si="52">IF(ISNUMBER($G$45),B165-$G$45,"")</f>
        <v>444</v>
      </c>
      <c r="C166" s="569">
        <v>0.48499999999999999</v>
      </c>
      <c r="D166" s="565" t="str">
        <f t="shared" si="50"/>
        <v/>
      </c>
      <c r="E166" s="42">
        <f t="shared" ref="E166:E176" si="53">IF(ISNUMBER($G$45),E165-$K$45,"")</f>
        <v>445</v>
      </c>
      <c r="F166" s="655">
        <v>0.435</v>
      </c>
      <c r="G166" s="36" t="str">
        <f t="shared" si="51"/>
        <v/>
      </c>
      <c r="M166" s="31"/>
      <c r="AA166" s="50">
        <v>663.9</v>
      </c>
      <c r="AB166" s="51">
        <v>79.994</v>
      </c>
      <c r="AC166" s="52">
        <f t="shared" si="39"/>
        <v>9.6942586315713467E-2</v>
      </c>
    </row>
    <row r="167" spans="1:29" ht="15" customHeight="1">
      <c r="A167" s="46"/>
      <c r="B167" s="42">
        <f t="shared" si="52"/>
        <v>443</v>
      </c>
      <c r="C167" s="569">
        <v>0.33200000000000002</v>
      </c>
      <c r="D167" s="565" t="str">
        <f t="shared" si="50"/>
        <v/>
      </c>
      <c r="E167" s="42">
        <f t="shared" si="53"/>
        <v>444.5</v>
      </c>
      <c r="F167" s="655">
        <v>0.29699999999999999</v>
      </c>
      <c r="G167" s="36" t="str">
        <f t="shared" si="51"/>
        <v/>
      </c>
      <c r="M167" s="31"/>
      <c r="AA167" s="50">
        <v>663.8</v>
      </c>
      <c r="AB167" s="51">
        <v>79.918999999999997</v>
      </c>
      <c r="AC167" s="52">
        <f t="shared" si="39"/>
        <v>9.7349958931210553E-2</v>
      </c>
    </row>
    <row r="168" spans="1:29" ht="15" customHeight="1">
      <c r="A168" s="46"/>
      <c r="B168" s="42">
        <f t="shared" si="52"/>
        <v>442</v>
      </c>
      <c r="C168" s="569">
        <v>0.20699999999999999</v>
      </c>
      <c r="D168" s="565" t="str">
        <f t="shared" si="50"/>
        <v/>
      </c>
      <c r="E168" s="42">
        <f t="shared" si="53"/>
        <v>444</v>
      </c>
      <c r="F168" s="655">
        <v>0.187</v>
      </c>
      <c r="G168" s="36" t="str">
        <f t="shared" si="51"/>
        <v/>
      </c>
      <c r="M168" s="31"/>
      <c r="AA168" s="50">
        <v>663.7</v>
      </c>
      <c r="AB168" s="51">
        <v>79.849000000000004</v>
      </c>
      <c r="AC168" s="52">
        <f t="shared" si="39"/>
        <v>9.7730518438477146E-2</v>
      </c>
    </row>
    <row r="169" spans="1:29" ht="15" customHeight="1">
      <c r="A169" s="46"/>
      <c r="B169" s="42">
        <f t="shared" si="52"/>
        <v>441</v>
      </c>
      <c r="C169" s="569">
        <v>0.14799999999999999</v>
      </c>
      <c r="D169" s="565" t="str">
        <f t="shared" si="50"/>
        <v/>
      </c>
      <c r="E169" s="42">
        <f t="shared" si="53"/>
        <v>443.5</v>
      </c>
      <c r="F169" s="655">
        <v>0.13500000000000001</v>
      </c>
      <c r="G169" s="36" t="str">
        <f t="shared" si="51"/>
        <v/>
      </c>
      <c r="M169" s="31"/>
      <c r="AA169" s="50">
        <v>663.6</v>
      </c>
      <c r="AB169" s="51">
        <v>79.745999999999995</v>
      </c>
      <c r="AC169" s="52">
        <f t="shared" si="39"/>
        <v>9.8291091612407122E-2</v>
      </c>
    </row>
    <row r="170" spans="1:29" ht="15" customHeight="1">
      <c r="A170" s="590" t="s">
        <v>351</v>
      </c>
      <c r="B170" s="42">
        <f t="shared" si="52"/>
        <v>440</v>
      </c>
      <c r="C170" s="569">
        <v>0.112</v>
      </c>
      <c r="D170" s="565" t="str">
        <f t="shared" si="50"/>
        <v/>
      </c>
      <c r="E170" s="42">
        <f t="shared" si="53"/>
        <v>443</v>
      </c>
      <c r="F170" s="655">
        <v>0.105</v>
      </c>
      <c r="G170" s="36" t="str">
        <f t="shared" si="51"/>
        <v/>
      </c>
      <c r="M170" s="31"/>
      <c r="AA170" s="50">
        <v>663.5</v>
      </c>
      <c r="AB170" s="51">
        <v>79.691999999999993</v>
      </c>
      <c r="AC170" s="52">
        <f t="shared" si="39"/>
        <v>9.858527371353111E-2</v>
      </c>
    </row>
    <row r="171" spans="1:29" ht="15" customHeight="1">
      <c r="A171" s="46"/>
      <c r="B171" s="42">
        <f t="shared" si="52"/>
        <v>439</v>
      </c>
      <c r="C171" s="569"/>
      <c r="D171" s="565" t="str">
        <f t="shared" si="50"/>
        <v/>
      </c>
      <c r="E171" s="42">
        <f t="shared" si="53"/>
        <v>442.5</v>
      </c>
      <c r="F171" s="655"/>
      <c r="G171" s="36" t="str">
        <f t="shared" si="51"/>
        <v/>
      </c>
      <c r="M171" s="31"/>
      <c r="AA171" s="50">
        <v>663.4</v>
      </c>
      <c r="AB171" s="51">
        <v>79.566999999999993</v>
      </c>
      <c r="AC171" s="52">
        <f t="shared" si="39"/>
        <v>9.9267016301210431E-2</v>
      </c>
    </row>
    <row r="172" spans="1:29" ht="15" customHeight="1">
      <c r="A172" s="46"/>
      <c r="B172" s="42">
        <f t="shared" si="52"/>
        <v>438</v>
      </c>
      <c r="C172" s="569"/>
      <c r="D172" s="565" t="str">
        <f t="shared" si="50"/>
        <v/>
      </c>
      <c r="E172" s="42">
        <f t="shared" si="53"/>
        <v>442</v>
      </c>
      <c r="F172" s="655"/>
      <c r="G172" s="36" t="str">
        <f t="shared" si="51"/>
        <v/>
      </c>
      <c r="M172" s="31"/>
      <c r="AA172" s="50">
        <v>663.3</v>
      </c>
      <c r="AB172" s="51">
        <v>79.480999999999995</v>
      </c>
      <c r="AC172" s="52">
        <f t="shared" si="39"/>
        <v>9.9736677398284068E-2</v>
      </c>
    </row>
    <row r="173" spans="1:29" ht="15" customHeight="1">
      <c r="A173" s="46"/>
      <c r="B173" s="42">
        <f t="shared" si="52"/>
        <v>437</v>
      </c>
      <c r="C173" s="569"/>
      <c r="D173" s="565" t="str">
        <f t="shared" si="50"/>
        <v/>
      </c>
      <c r="E173" s="42">
        <f t="shared" si="53"/>
        <v>441.5</v>
      </c>
      <c r="F173" s="655"/>
      <c r="G173" s="36" t="str">
        <f t="shared" si="51"/>
        <v/>
      </c>
      <c r="M173" s="31"/>
      <c r="AA173" s="50">
        <v>663.2</v>
      </c>
      <c r="AB173" s="51">
        <v>79.400000000000006</v>
      </c>
      <c r="AC173" s="52">
        <f t="shared" si="39"/>
        <v>0.10017949757290372</v>
      </c>
    </row>
    <row r="174" spans="1:29" ht="15" customHeight="1">
      <c r="A174" s="46"/>
      <c r="B174" s="42">
        <f t="shared" si="52"/>
        <v>436</v>
      </c>
      <c r="C174" s="569"/>
      <c r="D174" s="565" t="str">
        <f t="shared" si="50"/>
        <v/>
      </c>
      <c r="E174" s="42">
        <f t="shared" si="53"/>
        <v>441</v>
      </c>
      <c r="F174" s="655"/>
      <c r="G174" s="36" t="str">
        <f t="shared" si="51"/>
        <v/>
      </c>
      <c r="M174" s="31"/>
      <c r="AA174" s="50">
        <v>663.1</v>
      </c>
      <c r="AB174" s="51">
        <v>79.305000000000007</v>
      </c>
      <c r="AC174" s="52">
        <f t="shared" si="39"/>
        <v>0.10069943053920731</v>
      </c>
    </row>
    <row r="175" spans="1:29" ht="15" customHeight="1">
      <c r="A175" s="46"/>
      <c r="B175" s="42">
        <f t="shared" si="52"/>
        <v>435</v>
      </c>
      <c r="C175" s="573"/>
      <c r="D175" s="565" t="str">
        <f t="shared" si="50"/>
        <v/>
      </c>
      <c r="E175" s="42">
        <f t="shared" si="53"/>
        <v>440.5</v>
      </c>
      <c r="F175" s="655"/>
      <c r="G175" s="36" t="str">
        <f t="shared" si="51"/>
        <v/>
      </c>
      <c r="M175" s="31"/>
      <c r="AA175" s="50">
        <v>663</v>
      </c>
      <c r="AB175" s="51">
        <v>79.281999999999996</v>
      </c>
      <c r="AC175" s="52">
        <f t="shared" si="39"/>
        <v>0.10082540269523285</v>
      </c>
    </row>
    <row r="176" spans="1:29" ht="15" customHeight="1" thickBot="1">
      <c r="A176" s="43"/>
      <c r="B176" s="47">
        <f t="shared" si="52"/>
        <v>434</v>
      </c>
      <c r="C176" s="570"/>
      <c r="D176" s="566" t="str">
        <f t="shared" si="50"/>
        <v/>
      </c>
      <c r="E176" s="47">
        <f t="shared" si="53"/>
        <v>440</v>
      </c>
      <c r="F176" s="661"/>
      <c r="G176" s="571" t="str">
        <f t="shared" si="51"/>
        <v/>
      </c>
      <c r="M176" s="31"/>
      <c r="AA176" s="50">
        <v>662.9</v>
      </c>
      <c r="AB176" s="51">
        <v>79.227999999999994</v>
      </c>
      <c r="AC176" s="52">
        <f t="shared" si="39"/>
        <v>0.10112130709154897</v>
      </c>
    </row>
    <row r="177" spans="1:91" ht="15" customHeight="1" thickTop="1">
      <c r="A177" s="46"/>
      <c r="B177" s="44">
        <f t="shared" ref="B177:B187" si="54">IF(ISNUMBER($G$45),B178+$G$45,"")</f>
        <v>431</v>
      </c>
      <c r="C177" s="576"/>
      <c r="D177" s="574" t="str">
        <f t="shared" ref="D177:D188" si="55">IF(C177&lt;&gt;"",IF(C177 = LARGE($C$177:$C$201,1), C177, ""), "")</f>
        <v/>
      </c>
      <c r="E177" s="44">
        <f t="shared" ref="E177:E187" si="56">IF(ISNUMBER($G$45),E178+$G$45,"")</f>
        <v>430.5</v>
      </c>
      <c r="F177" s="660"/>
      <c r="G177" s="36" t="str">
        <f t="shared" ref="G177:G188" si="57">IF(F177 &lt;&gt;"", IF(F177 = LARGE($F$177:$F$201,1), F177, ""), "")</f>
        <v/>
      </c>
      <c r="M177" s="31"/>
      <c r="AA177" s="50">
        <v>662.8</v>
      </c>
      <c r="AB177" s="51">
        <v>79.182000000000002</v>
      </c>
      <c r="AC177" s="52">
        <f t="shared" si="39"/>
        <v>0.10137353291983099</v>
      </c>
    </row>
    <row r="178" spans="1:91" ht="15" customHeight="1" thickBot="1">
      <c r="A178" s="46"/>
      <c r="B178" s="42">
        <f t="shared" si="54"/>
        <v>430</v>
      </c>
      <c r="C178" s="577"/>
      <c r="D178" s="574" t="str">
        <f t="shared" si="55"/>
        <v/>
      </c>
      <c r="E178" s="42">
        <f t="shared" si="56"/>
        <v>429.5</v>
      </c>
      <c r="F178" s="655"/>
      <c r="G178" s="36" t="str">
        <f t="shared" si="57"/>
        <v/>
      </c>
      <c r="M178" s="31"/>
      <c r="U178" s="589" t="s">
        <v>342</v>
      </c>
      <c r="AA178" s="50">
        <v>662.7</v>
      </c>
      <c r="AB178" s="51">
        <v>79.094999999999999</v>
      </c>
      <c r="AC178" s="52">
        <f t="shared" si="39"/>
        <v>0.1018509696128546</v>
      </c>
    </row>
    <row r="179" spans="1:91" ht="15" customHeight="1">
      <c r="A179" s="46"/>
      <c r="B179" s="42">
        <f t="shared" si="54"/>
        <v>429</v>
      </c>
      <c r="C179" s="577"/>
      <c r="D179" s="574" t="str">
        <f t="shared" si="55"/>
        <v/>
      </c>
      <c r="E179" s="42">
        <f t="shared" si="56"/>
        <v>428.5</v>
      </c>
      <c r="F179" s="655"/>
      <c r="G179" s="36" t="str">
        <f t="shared" si="57"/>
        <v/>
      </c>
      <c r="M179" s="31"/>
      <c r="U179" s="103" t="s">
        <v>88</v>
      </c>
      <c r="V179" s="104" t="s">
        <v>89</v>
      </c>
      <c r="W179" s="105" t="s">
        <v>90</v>
      </c>
      <c r="X179" s="104" t="s">
        <v>91</v>
      </c>
      <c r="Y179" s="106" t="s">
        <v>96</v>
      </c>
      <c r="AA179" s="50">
        <v>662.6</v>
      </c>
      <c r="AB179" s="51">
        <v>79.03</v>
      </c>
      <c r="AC179" s="52">
        <f t="shared" si="39"/>
        <v>0.10220801806077531</v>
      </c>
      <c r="AD179" s="746" t="s">
        <v>95</v>
      </c>
      <c r="AE179" s="50">
        <v>412.5</v>
      </c>
      <c r="AF179" s="50">
        <f t="shared" ref="AF179:CM179" si="58">AE179+0.2</f>
        <v>412.7</v>
      </c>
      <c r="AG179" s="50">
        <f t="shared" si="58"/>
        <v>412.9</v>
      </c>
      <c r="AH179" s="50">
        <f t="shared" si="58"/>
        <v>413.09999999999997</v>
      </c>
      <c r="AI179" s="50">
        <f t="shared" si="58"/>
        <v>413.29999999999995</v>
      </c>
      <c r="AJ179" s="50">
        <f t="shared" si="58"/>
        <v>413.49999999999994</v>
      </c>
      <c r="AK179" s="50">
        <f t="shared" si="58"/>
        <v>413.69999999999993</v>
      </c>
      <c r="AL179" s="50">
        <f t="shared" si="58"/>
        <v>413.89999999999992</v>
      </c>
      <c r="AM179" s="50">
        <f t="shared" si="58"/>
        <v>414.09999999999991</v>
      </c>
      <c r="AN179" s="50">
        <f t="shared" si="58"/>
        <v>414.2999999999999</v>
      </c>
      <c r="AO179" s="50">
        <f t="shared" si="58"/>
        <v>414.49999999999989</v>
      </c>
      <c r="AP179" s="50">
        <f t="shared" si="58"/>
        <v>414.69999999999987</v>
      </c>
      <c r="AQ179" s="50">
        <f t="shared" si="58"/>
        <v>414.89999999999986</v>
      </c>
      <c r="AR179" s="50">
        <f t="shared" si="58"/>
        <v>415.09999999999985</v>
      </c>
      <c r="AS179" s="50">
        <f t="shared" si="58"/>
        <v>415.29999999999984</v>
      </c>
      <c r="AT179" s="50">
        <f t="shared" si="58"/>
        <v>415.49999999999983</v>
      </c>
      <c r="AU179" s="50">
        <f t="shared" si="58"/>
        <v>415.69999999999982</v>
      </c>
      <c r="AV179" s="50">
        <f t="shared" si="58"/>
        <v>415.89999999999981</v>
      </c>
      <c r="AW179" s="50">
        <f t="shared" si="58"/>
        <v>416.0999999999998</v>
      </c>
      <c r="AX179" s="50">
        <f t="shared" si="58"/>
        <v>416.29999999999978</v>
      </c>
      <c r="AY179" s="50">
        <f t="shared" si="58"/>
        <v>416.49999999999977</v>
      </c>
      <c r="AZ179" s="50">
        <f t="shared" si="58"/>
        <v>416.69999999999976</v>
      </c>
      <c r="BA179" s="50">
        <f t="shared" si="58"/>
        <v>416.89999999999975</v>
      </c>
      <c r="BB179" s="50">
        <f t="shared" si="58"/>
        <v>417.09999999999974</v>
      </c>
      <c r="BC179" s="50">
        <f t="shared" si="58"/>
        <v>417.29999999999973</v>
      </c>
      <c r="BD179" s="50">
        <f t="shared" si="58"/>
        <v>417.49999999999972</v>
      </c>
      <c r="BE179" s="50">
        <f t="shared" si="58"/>
        <v>417.6999999999997</v>
      </c>
      <c r="BF179" s="50">
        <f t="shared" si="58"/>
        <v>417.89999999999969</v>
      </c>
      <c r="BG179" s="50">
        <f t="shared" si="58"/>
        <v>418.09999999999968</v>
      </c>
      <c r="BH179" s="50">
        <f t="shared" si="58"/>
        <v>418.29999999999967</v>
      </c>
      <c r="BI179" s="50">
        <f t="shared" si="58"/>
        <v>418.49999999999966</v>
      </c>
      <c r="BJ179" s="50">
        <f t="shared" si="58"/>
        <v>418.69999999999965</v>
      </c>
      <c r="BK179" s="50">
        <f t="shared" si="58"/>
        <v>418.89999999999964</v>
      </c>
      <c r="BL179" s="50">
        <f t="shared" si="58"/>
        <v>419.09999999999962</v>
      </c>
      <c r="BM179" s="50">
        <f t="shared" si="58"/>
        <v>419.29999999999961</v>
      </c>
      <c r="BN179" s="50">
        <f t="shared" si="58"/>
        <v>419.4999999999996</v>
      </c>
      <c r="BO179" s="50">
        <f t="shared" si="58"/>
        <v>419.69999999999959</v>
      </c>
      <c r="BP179" s="50">
        <f t="shared" si="58"/>
        <v>419.89999999999958</v>
      </c>
      <c r="BQ179" s="50">
        <f t="shared" si="58"/>
        <v>420.09999999999957</v>
      </c>
      <c r="BR179" s="50">
        <f t="shared" si="58"/>
        <v>420.29999999999956</v>
      </c>
      <c r="BS179" s="50">
        <f t="shared" si="58"/>
        <v>420.49999999999955</v>
      </c>
      <c r="BT179" s="50">
        <f t="shared" si="58"/>
        <v>420.69999999999953</v>
      </c>
      <c r="BU179" s="50">
        <f t="shared" si="58"/>
        <v>420.89999999999952</v>
      </c>
      <c r="BV179" s="50">
        <f t="shared" si="58"/>
        <v>421.09999999999951</v>
      </c>
      <c r="BW179" s="50">
        <f t="shared" si="58"/>
        <v>421.2999999999995</v>
      </c>
      <c r="BX179" s="50">
        <f t="shared" si="58"/>
        <v>421.49999999999949</v>
      </c>
      <c r="BY179" s="50">
        <f t="shared" si="58"/>
        <v>421.69999999999948</v>
      </c>
      <c r="BZ179" s="50">
        <f t="shared" si="58"/>
        <v>421.89999999999947</v>
      </c>
      <c r="CA179" s="50">
        <f t="shared" si="58"/>
        <v>422.09999999999945</v>
      </c>
      <c r="CB179" s="50">
        <f t="shared" si="58"/>
        <v>422.29999999999944</v>
      </c>
      <c r="CC179" s="50">
        <f t="shared" si="58"/>
        <v>422.49999999999943</v>
      </c>
      <c r="CD179" s="50">
        <f t="shared" si="58"/>
        <v>422.69999999999942</v>
      </c>
      <c r="CE179" s="50">
        <f t="shared" si="58"/>
        <v>422.89999999999941</v>
      </c>
      <c r="CF179" s="50">
        <f t="shared" si="58"/>
        <v>423.0999999999994</v>
      </c>
      <c r="CG179" s="50">
        <f t="shared" si="58"/>
        <v>423.29999999999939</v>
      </c>
      <c r="CH179" s="50">
        <f t="shared" si="58"/>
        <v>423.49999999999937</v>
      </c>
      <c r="CI179" s="50">
        <f t="shared" si="58"/>
        <v>423.69999999999936</v>
      </c>
      <c r="CJ179" s="50">
        <f t="shared" si="58"/>
        <v>423.89999999999935</v>
      </c>
      <c r="CK179" s="50">
        <f t="shared" si="58"/>
        <v>424.09999999999934</v>
      </c>
      <c r="CL179" s="50">
        <f t="shared" si="58"/>
        <v>424.29999999999933</v>
      </c>
      <c r="CM179" s="50">
        <f t="shared" si="58"/>
        <v>424.49999999999932</v>
      </c>
    </row>
    <row r="180" spans="1:91" ht="15" customHeight="1" thickBot="1">
      <c r="A180" s="46"/>
      <c r="B180" s="42">
        <f t="shared" si="54"/>
        <v>428</v>
      </c>
      <c r="C180" s="577"/>
      <c r="D180" s="574" t="str">
        <f t="shared" si="55"/>
        <v/>
      </c>
      <c r="E180" s="42">
        <f t="shared" si="56"/>
        <v>427.5</v>
      </c>
      <c r="F180" s="655"/>
      <c r="G180" s="36" t="str">
        <f t="shared" si="57"/>
        <v/>
      </c>
      <c r="M180" s="31"/>
      <c r="U180" s="114">
        <v>415.5</v>
      </c>
      <c r="V180" s="116">
        <v>0.13469999999999999</v>
      </c>
      <c r="W180" s="115">
        <v>418.7</v>
      </c>
      <c r="X180" s="116">
        <v>0.27029999999999998</v>
      </c>
      <c r="Y180" s="107">
        <f>(V180 + X180)/2</f>
        <v>0.20249999999999999</v>
      </c>
      <c r="AA180" s="50">
        <v>662.5</v>
      </c>
      <c r="AB180" s="51">
        <v>79.057000000000002</v>
      </c>
      <c r="AC180" s="52">
        <f t="shared" si="39"/>
        <v>0.10205966998502711</v>
      </c>
      <c r="AD180" s="746"/>
      <c r="AE180" s="52">
        <f>$Y180</f>
        <v>0.20249999999999999</v>
      </c>
      <c r="AF180" s="52">
        <f t="shared" ref="AF180:CM180" si="59">AE180</f>
        <v>0.20249999999999999</v>
      </c>
      <c r="AG180" s="52">
        <f t="shared" si="59"/>
        <v>0.20249999999999999</v>
      </c>
      <c r="AH180" s="52">
        <f t="shared" si="59"/>
        <v>0.20249999999999999</v>
      </c>
      <c r="AI180" s="52">
        <f t="shared" si="59"/>
        <v>0.20249999999999999</v>
      </c>
      <c r="AJ180" s="52">
        <f t="shared" si="59"/>
        <v>0.20249999999999999</v>
      </c>
      <c r="AK180" s="52">
        <f t="shared" si="59"/>
        <v>0.20249999999999999</v>
      </c>
      <c r="AL180" s="52">
        <f t="shared" si="59"/>
        <v>0.20249999999999999</v>
      </c>
      <c r="AM180" s="52">
        <f t="shared" si="59"/>
        <v>0.20249999999999999</v>
      </c>
      <c r="AN180" s="52">
        <f t="shared" si="59"/>
        <v>0.20249999999999999</v>
      </c>
      <c r="AO180" s="52">
        <f t="shared" si="59"/>
        <v>0.20249999999999999</v>
      </c>
      <c r="AP180" s="52">
        <f t="shared" si="59"/>
        <v>0.20249999999999999</v>
      </c>
      <c r="AQ180" s="52">
        <f t="shared" si="59"/>
        <v>0.20249999999999999</v>
      </c>
      <c r="AR180" s="52">
        <f t="shared" si="59"/>
        <v>0.20249999999999999</v>
      </c>
      <c r="AS180" s="52">
        <f t="shared" si="59"/>
        <v>0.20249999999999999</v>
      </c>
      <c r="AT180" s="52">
        <f t="shared" si="59"/>
        <v>0.20249999999999999</v>
      </c>
      <c r="AU180" s="52">
        <f t="shared" si="59"/>
        <v>0.20249999999999999</v>
      </c>
      <c r="AV180" s="52">
        <f t="shared" si="59"/>
        <v>0.20249999999999999</v>
      </c>
      <c r="AW180" s="52">
        <f t="shared" si="59"/>
        <v>0.20249999999999999</v>
      </c>
      <c r="AX180" s="52">
        <f t="shared" si="59"/>
        <v>0.20249999999999999</v>
      </c>
      <c r="AY180" s="52">
        <f t="shared" si="59"/>
        <v>0.20249999999999999</v>
      </c>
      <c r="AZ180" s="52">
        <f t="shared" si="59"/>
        <v>0.20249999999999999</v>
      </c>
      <c r="BA180" s="52">
        <f t="shared" si="59"/>
        <v>0.20249999999999999</v>
      </c>
      <c r="BB180" s="52">
        <f t="shared" si="59"/>
        <v>0.20249999999999999</v>
      </c>
      <c r="BC180" s="52">
        <f t="shared" si="59"/>
        <v>0.20249999999999999</v>
      </c>
      <c r="BD180" s="52">
        <f t="shared" si="59"/>
        <v>0.20249999999999999</v>
      </c>
      <c r="BE180" s="52">
        <f t="shared" si="59"/>
        <v>0.20249999999999999</v>
      </c>
      <c r="BF180" s="52">
        <f t="shared" si="59"/>
        <v>0.20249999999999999</v>
      </c>
      <c r="BG180" s="52">
        <f t="shared" si="59"/>
        <v>0.20249999999999999</v>
      </c>
      <c r="BH180" s="52">
        <f t="shared" si="59"/>
        <v>0.20249999999999999</v>
      </c>
      <c r="BI180" s="52">
        <f t="shared" si="59"/>
        <v>0.20249999999999999</v>
      </c>
      <c r="BJ180" s="52">
        <f t="shared" si="59"/>
        <v>0.20249999999999999</v>
      </c>
      <c r="BK180" s="52">
        <f t="shared" si="59"/>
        <v>0.20249999999999999</v>
      </c>
      <c r="BL180" s="52">
        <f t="shared" si="59"/>
        <v>0.20249999999999999</v>
      </c>
      <c r="BM180" s="52">
        <f t="shared" si="59"/>
        <v>0.20249999999999999</v>
      </c>
      <c r="BN180" s="52">
        <f t="shared" si="59"/>
        <v>0.20249999999999999</v>
      </c>
      <c r="BO180" s="52">
        <f t="shared" si="59"/>
        <v>0.20249999999999999</v>
      </c>
      <c r="BP180" s="52">
        <f t="shared" si="59"/>
        <v>0.20249999999999999</v>
      </c>
      <c r="BQ180" s="52">
        <f t="shared" si="59"/>
        <v>0.20249999999999999</v>
      </c>
      <c r="BR180" s="52">
        <f t="shared" si="59"/>
        <v>0.20249999999999999</v>
      </c>
      <c r="BS180" s="52">
        <f t="shared" si="59"/>
        <v>0.20249999999999999</v>
      </c>
      <c r="BT180" s="52">
        <f t="shared" si="59"/>
        <v>0.20249999999999999</v>
      </c>
      <c r="BU180" s="52">
        <f t="shared" si="59"/>
        <v>0.20249999999999999</v>
      </c>
      <c r="BV180" s="52">
        <f t="shared" si="59"/>
        <v>0.20249999999999999</v>
      </c>
      <c r="BW180" s="52">
        <f t="shared" si="59"/>
        <v>0.20249999999999999</v>
      </c>
      <c r="BX180" s="52">
        <f t="shared" si="59"/>
        <v>0.20249999999999999</v>
      </c>
      <c r="BY180" s="52">
        <f t="shared" si="59"/>
        <v>0.20249999999999999</v>
      </c>
      <c r="BZ180" s="52">
        <f t="shared" si="59"/>
        <v>0.20249999999999999</v>
      </c>
      <c r="CA180" s="52">
        <f t="shared" si="59"/>
        <v>0.20249999999999999</v>
      </c>
      <c r="CB180" s="52">
        <f t="shared" si="59"/>
        <v>0.20249999999999999</v>
      </c>
      <c r="CC180" s="52">
        <f t="shared" si="59"/>
        <v>0.20249999999999999</v>
      </c>
      <c r="CD180" s="52">
        <f t="shared" si="59"/>
        <v>0.20249999999999999</v>
      </c>
      <c r="CE180" s="52">
        <f t="shared" si="59"/>
        <v>0.20249999999999999</v>
      </c>
      <c r="CF180" s="52">
        <f t="shared" si="59"/>
        <v>0.20249999999999999</v>
      </c>
      <c r="CG180" s="52">
        <f t="shared" si="59"/>
        <v>0.20249999999999999</v>
      </c>
      <c r="CH180" s="52">
        <f t="shared" si="59"/>
        <v>0.20249999999999999</v>
      </c>
      <c r="CI180" s="52">
        <f t="shared" si="59"/>
        <v>0.20249999999999999</v>
      </c>
      <c r="CJ180" s="52">
        <f t="shared" si="59"/>
        <v>0.20249999999999999</v>
      </c>
      <c r="CK180" s="52">
        <f t="shared" si="59"/>
        <v>0.20249999999999999</v>
      </c>
      <c r="CL180" s="52">
        <f t="shared" si="59"/>
        <v>0.20249999999999999</v>
      </c>
      <c r="CM180" s="52">
        <f t="shared" si="59"/>
        <v>0.20249999999999999</v>
      </c>
    </row>
    <row r="181" spans="1:91" ht="15" customHeight="1">
      <c r="A181" s="46"/>
      <c r="B181" s="42">
        <f t="shared" si="54"/>
        <v>427</v>
      </c>
      <c r="C181" s="577"/>
      <c r="D181" s="574" t="str">
        <f t="shared" si="55"/>
        <v/>
      </c>
      <c r="E181" s="42">
        <f t="shared" si="56"/>
        <v>426.5</v>
      </c>
      <c r="F181" s="655"/>
      <c r="G181" s="36" t="str">
        <f t="shared" si="57"/>
        <v/>
      </c>
      <c r="M181" s="31"/>
      <c r="AA181" s="50">
        <v>662.4</v>
      </c>
      <c r="AB181" s="51">
        <v>79.066999999999993</v>
      </c>
      <c r="AC181" s="52">
        <f t="shared" si="39"/>
        <v>0.1020047391102096</v>
      </c>
    </row>
    <row r="182" spans="1:91" ht="15" customHeight="1" thickBot="1">
      <c r="A182" s="46"/>
      <c r="B182" s="42">
        <f t="shared" si="54"/>
        <v>426</v>
      </c>
      <c r="C182" s="577">
        <v>8.7999999999999995E-2</v>
      </c>
      <c r="D182" s="574" t="str">
        <f t="shared" si="55"/>
        <v/>
      </c>
      <c r="E182" s="42">
        <f t="shared" si="56"/>
        <v>425.5</v>
      </c>
      <c r="F182" s="655">
        <v>0.09</v>
      </c>
      <c r="G182" s="36" t="str">
        <f t="shared" si="57"/>
        <v/>
      </c>
      <c r="M182" s="31"/>
      <c r="AA182" s="50">
        <v>662.3</v>
      </c>
      <c r="AB182" s="51">
        <v>79.108000000000004</v>
      </c>
      <c r="AC182" s="52">
        <f t="shared" si="39"/>
        <v>0.10177959513477962</v>
      </c>
    </row>
    <row r="183" spans="1:91" ht="15" customHeight="1">
      <c r="A183" s="590" t="s">
        <v>352</v>
      </c>
      <c r="B183" s="42">
        <f t="shared" si="54"/>
        <v>425</v>
      </c>
      <c r="C183" s="577">
        <v>9.2999999999999999E-2</v>
      </c>
      <c r="D183" s="574" t="str">
        <f t="shared" si="55"/>
        <v/>
      </c>
      <c r="E183" s="42">
        <f t="shared" si="56"/>
        <v>424.5</v>
      </c>
      <c r="F183" s="655">
        <v>9.4E-2</v>
      </c>
      <c r="G183" s="36" t="str">
        <f t="shared" si="57"/>
        <v/>
      </c>
      <c r="M183" s="31"/>
      <c r="U183" s="95" t="s">
        <v>87</v>
      </c>
      <c r="V183" s="96">
        <f>X184 - X183</f>
        <v>3</v>
      </c>
      <c r="W183" s="97" t="s">
        <v>92</v>
      </c>
      <c r="X183" s="117">
        <v>417.3</v>
      </c>
      <c r="Y183" s="98" t="s">
        <v>53</v>
      </c>
      <c r="AA183" s="50">
        <v>662.2</v>
      </c>
      <c r="AB183" s="51">
        <v>79.093999999999994</v>
      </c>
      <c r="AC183" s="52">
        <f t="shared" si="39"/>
        <v>0.10185646044321463</v>
      </c>
    </row>
    <row r="184" spans="1:91" ht="15" customHeight="1" thickBot="1">
      <c r="A184" s="46"/>
      <c r="B184" s="42">
        <f t="shared" si="54"/>
        <v>424</v>
      </c>
      <c r="C184" s="577">
        <v>9.7000000000000003E-2</v>
      </c>
      <c r="D184" s="574" t="str">
        <f t="shared" si="55"/>
        <v/>
      </c>
      <c r="E184" s="42">
        <f t="shared" si="56"/>
        <v>423.5</v>
      </c>
      <c r="F184" s="655">
        <v>9.9000000000000005E-2</v>
      </c>
      <c r="G184" s="36" t="str">
        <f t="shared" si="57"/>
        <v/>
      </c>
      <c r="M184" s="31"/>
      <c r="U184" s="99" t="s">
        <v>93</v>
      </c>
      <c r="V184" s="100">
        <f>X180 - Y180</f>
        <v>6.7799999999999999E-2</v>
      </c>
      <c r="W184" s="101" t="s">
        <v>94</v>
      </c>
      <c r="X184" s="118">
        <v>420.3</v>
      </c>
      <c r="Y184" s="102" t="s">
        <v>53</v>
      </c>
      <c r="AA184" s="50">
        <v>662.1</v>
      </c>
      <c r="AB184" s="51">
        <v>79.097999999999999</v>
      </c>
      <c r="AC184" s="52">
        <f t="shared" si="39"/>
        <v>0.10183449753828916</v>
      </c>
    </row>
    <row r="185" spans="1:91" ht="15" customHeight="1">
      <c r="A185" s="46"/>
      <c r="B185" s="42">
        <f t="shared" si="54"/>
        <v>423</v>
      </c>
      <c r="C185" s="577">
        <v>0.107</v>
      </c>
      <c r="D185" s="574" t="str">
        <f t="shared" si="55"/>
        <v/>
      </c>
      <c r="E185" s="42">
        <f t="shared" si="56"/>
        <v>422.5</v>
      </c>
      <c r="F185" s="655">
        <v>0.111</v>
      </c>
      <c r="G185" s="36" t="str">
        <f t="shared" si="57"/>
        <v/>
      </c>
      <c r="M185" s="31"/>
      <c r="AA185" s="50">
        <v>662</v>
      </c>
      <c r="AB185" s="51">
        <v>79.045000000000002</v>
      </c>
      <c r="AC185" s="52">
        <f t="shared" si="39"/>
        <v>0.1021255962072488</v>
      </c>
    </row>
    <row r="186" spans="1:91" ht="15" customHeight="1">
      <c r="A186" s="46"/>
      <c r="B186" s="42">
        <f t="shared" si="54"/>
        <v>422</v>
      </c>
      <c r="C186" s="577">
        <v>0.122</v>
      </c>
      <c r="D186" s="574" t="str">
        <f t="shared" si="55"/>
        <v/>
      </c>
      <c r="E186" s="42">
        <f t="shared" si="56"/>
        <v>421.5</v>
      </c>
      <c r="F186" s="655">
        <v>0.127</v>
      </c>
      <c r="G186" s="36" t="str">
        <f t="shared" si="57"/>
        <v/>
      </c>
      <c r="M186" s="31"/>
      <c r="AA186" s="50">
        <v>661.9</v>
      </c>
      <c r="AB186" s="51">
        <v>79.113</v>
      </c>
      <c r="AC186" s="52">
        <f t="shared" si="39"/>
        <v>0.10175214653553882</v>
      </c>
    </row>
    <row r="187" spans="1:91" ht="15" customHeight="1">
      <c r="A187" s="46"/>
      <c r="B187" s="42">
        <f t="shared" si="54"/>
        <v>421</v>
      </c>
      <c r="C187" s="577">
        <v>0.14199999999999999</v>
      </c>
      <c r="D187" s="574" t="str">
        <f t="shared" si="55"/>
        <v/>
      </c>
      <c r="E187" s="42">
        <f t="shared" si="56"/>
        <v>420.5</v>
      </c>
      <c r="F187" s="655">
        <v>0.14799999999999999</v>
      </c>
      <c r="G187" s="36" t="str">
        <f t="shared" si="57"/>
        <v/>
      </c>
      <c r="M187" s="31"/>
      <c r="AA187" s="50">
        <v>661.8</v>
      </c>
      <c r="AB187" s="51">
        <v>79.12</v>
      </c>
      <c r="AC187" s="52">
        <f t="shared" si="39"/>
        <v>0.10171372141087701</v>
      </c>
    </row>
    <row r="188" spans="1:91" ht="15" customHeight="1">
      <c r="A188" s="59" t="s">
        <v>342</v>
      </c>
      <c r="B188" s="42">
        <f>IF(ISNUMBER($G$45),B189+$G$45,"")</f>
        <v>420</v>
      </c>
      <c r="C188" s="577">
        <v>0.16600000000000001</v>
      </c>
      <c r="D188" s="574" t="str">
        <f t="shared" si="55"/>
        <v/>
      </c>
      <c r="E188" s="42">
        <f>IF(ISNUMBER($G$45),E189+$K$45,"")</f>
        <v>419.5</v>
      </c>
      <c r="F188" s="655">
        <v>0.16900000000000001</v>
      </c>
      <c r="G188" s="36" t="str">
        <f t="shared" si="57"/>
        <v/>
      </c>
      <c r="M188" s="31"/>
      <c r="AA188" s="50">
        <v>661.7</v>
      </c>
      <c r="AB188" s="51">
        <v>79.143000000000001</v>
      </c>
      <c r="AC188" s="52">
        <f t="shared" si="39"/>
        <v>0.10158749136147703</v>
      </c>
    </row>
    <row r="189" spans="1:91" ht="15" customHeight="1">
      <c r="A189" s="45">
        <v>418.78</v>
      </c>
      <c r="B189" s="122">
        <v>419</v>
      </c>
      <c r="C189" s="577">
        <v>0.17499999999999999</v>
      </c>
      <c r="D189" s="574">
        <f>IF(C189&lt;&gt;"",IF(C189 = LARGE($C$177:$C$201,1), C189, ""), "")</f>
        <v>0.17499999999999999</v>
      </c>
      <c r="E189" s="122">
        <v>419</v>
      </c>
      <c r="F189" s="655">
        <v>0.17499999999999999</v>
      </c>
      <c r="G189" s="36">
        <f>IF(F189 &lt;&gt;"", IF(F189 = LARGE($F$177:$F$201,1), F189, ""), "")</f>
        <v>0.17499999999999999</v>
      </c>
      <c r="M189" s="31"/>
      <c r="AA189" s="50">
        <v>661.6</v>
      </c>
      <c r="AB189" s="51">
        <v>79.13</v>
      </c>
      <c r="AC189" s="52">
        <f t="shared" si="39"/>
        <v>0.10165883427249074</v>
      </c>
    </row>
    <row r="190" spans="1:91" ht="15" customHeight="1">
      <c r="A190" s="46"/>
      <c r="B190" s="42">
        <f>IF(ISNUMBER($G$45),B189-$G$45,"")</f>
        <v>418</v>
      </c>
      <c r="C190" s="577">
        <v>0.17100000000000001</v>
      </c>
      <c r="D190" s="574" t="str">
        <f t="shared" ref="D190:D201" si="60">IF(C190&lt;&gt;"",IF(C190 = LARGE($C$177:$C$201,1), C190, ""), "")</f>
        <v/>
      </c>
      <c r="E190" s="42">
        <f>IF(ISNUMBER($G$45),E189-$K$45,"")</f>
        <v>418.5</v>
      </c>
      <c r="F190" s="655">
        <v>0.16600000000000001</v>
      </c>
      <c r="G190" s="36" t="str">
        <f t="shared" ref="G190:G201" si="61">IF(F190 &lt;&gt;"", IF(F190 = LARGE($F$177:$F$201,1), F190, ""), "")</f>
        <v/>
      </c>
      <c r="M190" s="31"/>
      <c r="AA190" s="50">
        <v>661.5</v>
      </c>
      <c r="AB190" s="51">
        <v>79.215000000000003</v>
      </c>
      <c r="AC190" s="52">
        <f t="shared" si="39"/>
        <v>0.10119257345582394</v>
      </c>
    </row>
    <row r="191" spans="1:91" ht="15" customHeight="1">
      <c r="A191" s="46"/>
      <c r="B191" s="42">
        <f t="shared" ref="B191:B201" si="62">IF(ISNUMBER($G$45),B190-$G$45,"")</f>
        <v>417</v>
      </c>
      <c r="C191" s="577">
        <v>0.14899999999999999</v>
      </c>
      <c r="D191" s="574" t="str">
        <f t="shared" si="60"/>
        <v/>
      </c>
      <c r="E191" s="42">
        <f t="shared" ref="E191:E201" si="63">IF(ISNUMBER($G$45),E190-$K$45,"")</f>
        <v>418</v>
      </c>
      <c r="F191" s="655">
        <v>0.14299999999999999</v>
      </c>
      <c r="G191" s="36" t="str">
        <f t="shared" si="61"/>
        <v/>
      </c>
      <c r="M191" s="31"/>
      <c r="AA191" s="50">
        <v>661.4</v>
      </c>
      <c r="AB191" s="51">
        <v>79.281000000000006</v>
      </c>
      <c r="AC191" s="52">
        <f t="shared" si="39"/>
        <v>0.10083088057445949</v>
      </c>
    </row>
    <row r="192" spans="1:91" ht="15" customHeight="1">
      <c r="A192" s="46"/>
      <c r="B192" s="42">
        <f t="shared" si="62"/>
        <v>416</v>
      </c>
      <c r="C192" s="577">
        <v>0.128</v>
      </c>
      <c r="D192" s="574" t="str">
        <f t="shared" si="60"/>
        <v/>
      </c>
      <c r="E192" s="42">
        <f t="shared" si="63"/>
        <v>417.5</v>
      </c>
      <c r="F192" s="655">
        <v>0.122</v>
      </c>
      <c r="G192" s="36" t="str">
        <f t="shared" si="61"/>
        <v/>
      </c>
      <c r="M192" s="31"/>
      <c r="AA192" s="50">
        <v>661.3</v>
      </c>
      <c r="AB192" s="51">
        <v>79.361000000000004</v>
      </c>
      <c r="AC192" s="52">
        <f t="shared" si="39"/>
        <v>0.10039286842764669</v>
      </c>
    </row>
    <row r="193" spans="1:91" ht="15" customHeight="1">
      <c r="A193" s="46"/>
      <c r="B193" s="42">
        <f t="shared" si="62"/>
        <v>415</v>
      </c>
      <c r="C193" s="577">
        <v>0.109</v>
      </c>
      <c r="D193" s="574" t="str">
        <f t="shared" si="60"/>
        <v/>
      </c>
      <c r="E193" s="42">
        <f t="shared" si="63"/>
        <v>417</v>
      </c>
      <c r="F193" s="655">
        <v>0.104</v>
      </c>
      <c r="G193" s="36" t="str">
        <f t="shared" si="61"/>
        <v/>
      </c>
      <c r="M193" s="31"/>
      <c r="AA193" s="50">
        <v>661.2</v>
      </c>
      <c r="AB193" s="51">
        <v>79.481999999999999</v>
      </c>
      <c r="AC193" s="52">
        <f t="shared" si="39"/>
        <v>9.9731213303093216E-2</v>
      </c>
    </row>
    <row r="194" spans="1:91" ht="15" customHeight="1">
      <c r="A194" s="46"/>
      <c r="B194" s="42">
        <f t="shared" si="62"/>
        <v>414</v>
      </c>
      <c r="C194" s="577">
        <v>0.09</v>
      </c>
      <c r="D194" s="574" t="str">
        <f t="shared" si="60"/>
        <v/>
      </c>
      <c r="E194" s="42">
        <f t="shared" si="63"/>
        <v>416.5</v>
      </c>
      <c r="F194" s="655">
        <v>8.6999999999999994E-2</v>
      </c>
      <c r="G194" s="36" t="str">
        <f t="shared" si="61"/>
        <v/>
      </c>
      <c r="M194" s="31"/>
      <c r="AA194" s="50">
        <v>661.1</v>
      </c>
      <c r="AB194" s="51">
        <v>79.513999999999996</v>
      </c>
      <c r="AC194" s="52">
        <f t="shared" si="39"/>
        <v>9.9556398545381702E-2</v>
      </c>
    </row>
    <row r="195" spans="1:91" ht="15" customHeight="1">
      <c r="A195" s="590" t="s">
        <v>351</v>
      </c>
      <c r="B195" s="42">
        <f t="shared" si="62"/>
        <v>413</v>
      </c>
      <c r="C195" s="577">
        <v>7.8E-2</v>
      </c>
      <c r="D195" s="574" t="str">
        <f t="shared" si="60"/>
        <v/>
      </c>
      <c r="E195" s="42">
        <f t="shared" si="63"/>
        <v>416</v>
      </c>
      <c r="F195" s="655">
        <v>7.4999999999999997E-2</v>
      </c>
      <c r="G195" s="36" t="str">
        <f t="shared" si="61"/>
        <v/>
      </c>
      <c r="M195" s="31"/>
      <c r="AA195" s="50">
        <v>661</v>
      </c>
      <c r="AB195" s="51">
        <v>79.613</v>
      </c>
      <c r="AC195" s="52">
        <f t="shared" si="39"/>
        <v>9.9016010562755052E-2</v>
      </c>
    </row>
    <row r="196" spans="1:91" ht="15" customHeight="1">
      <c r="A196" s="46"/>
      <c r="B196" s="42">
        <f t="shared" si="62"/>
        <v>412</v>
      </c>
      <c r="C196" s="577"/>
      <c r="D196" s="574" t="str">
        <f t="shared" si="60"/>
        <v/>
      </c>
      <c r="E196" s="42">
        <f t="shared" si="63"/>
        <v>415.5</v>
      </c>
      <c r="F196" s="655">
        <v>6.6000000000000003E-2</v>
      </c>
      <c r="G196" s="36" t="str">
        <f t="shared" si="61"/>
        <v/>
      </c>
      <c r="M196" s="31"/>
      <c r="AA196" s="50">
        <v>660.9</v>
      </c>
      <c r="AB196" s="51">
        <v>79.656000000000006</v>
      </c>
      <c r="AC196" s="52">
        <f t="shared" si="39"/>
        <v>9.8781505879789996E-2</v>
      </c>
    </row>
    <row r="197" spans="1:91" ht="15" customHeight="1">
      <c r="A197" s="46"/>
      <c r="B197" s="42">
        <f t="shared" si="62"/>
        <v>411</v>
      </c>
      <c r="C197" s="577"/>
      <c r="D197" s="574" t="str">
        <f t="shared" si="60"/>
        <v/>
      </c>
      <c r="E197" s="42">
        <f t="shared" si="63"/>
        <v>415</v>
      </c>
      <c r="F197" s="655"/>
      <c r="G197" s="36" t="str">
        <f t="shared" si="61"/>
        <v/>
      </c>
      <c r="M197" s="31"/>
      <c r="AA197" s="50">
        <v>660.8</v>
      </c>
      <c r="AB197" s="51">
        <v>79.715000000000003</v>
      </c>
      <c r="AC197" s="52">
        <f t="shared" si="39"/>
        <v>9.8459949566497507E-2</v>
      </c>
    </row>
    <row r="198" spans="1:91" ht="15" customHeight="1">
      <c r="A198" s="46"/>
      <c r="B198" s="42">
        <f t="shared" si="62"/>
        <v>410</v>
      </c>
      <c r="C198" s="577"/>
      <c r="D198" s="574" t="str">
        <f t="shared" si="60"/>
        <v/>
      </c>
      <c r="E198" s="42">
        <f t="shared" si="63"/>
        <v>414.5</v>
      </c>
      <c r="F198" s="655"/>
      <c r="G198" s="36" t="str">
        <f t="shared" si="61"/>
        <v/>
      </c>
      <c r="M198" s="31"/>
      <c r="AA198" s="50">
        <v>660.7</v>
      </c>
      <c r="AB198" s="51">
        <v>79.733000000000004</v>
      </c>
      <c r="AC198" s="52">
        <f t="shared" si="39"/>
        <v>9.8361895019466877E-2</v>
      </c>
    </row>
    <row r="199" spans="1:91" ht="15" customHeight="1">
      <c r="A199" s="46"/>
      <c r="B199" s="42">
        <f t="shared" si="62"/>
        <v>409</v>
      </c>
      <c r="C199" s="577"/>
      <c r="D199" s="574" t="str">
        <f t="shared" si="60"/>
        <v/>
      </c>
      <c r="E199" s="42">
        <f t="shared" si="63"/>
        <v>414</v>
      </c>
      <c r="F199" s="655"/>
      <c r="G199" s="36" t="str">
        <f t="shared" si="61"/>
        <v/>
      </c>
      <c r="M199" s="31"/>
      <c r="AA199" s="50">
        <v>660.6</v>
      </c>
      <c r="AB199" s="51">
        <v>79.769000000000005</v>
      </c>
      <c r="AC199" s="52">
        <f t="shared" si="39"/>
        <v>9.8165852316378546E-2</v>
      </c>
    </row>
    <row r="200" spans="1:91" ht="15" customHeight="1">
      <c r="A200" s="46"/>
      <c r="B200" s="42">
        <f t="shared" si="62"/>
        <v>408</v>
      </c>
      <c r="C200" s="577"/>
      <c r="D200" s="574" t="str">
        <f t="shared" si="60"/>
        <v/>
      </c>
      <c r="E200" s="42">
        <f t="shared" si="63"/>
        <v>413.5</v>
      </c>
      <c r="F200" s="655"/>
      <c r="G200" s="36" t="str">
        <f t="shared" si="61"/>
        <v/>
      </c>
      <c r="M200" s="31"/>
      <c r="AA200" s="50">
        <v>660.5</v>
      </c>
      <c r="AB200" s="51">
        <v>79.849999999999994</v>
      </c>
      <c r="AC200" s="52">
        <f t="shared" si="39"/>
        <v>9.7725079525498276E-2</v>
      </c>
    </row>
    <row r="201" spans="1:91" ht="15" customHeight="1" thickBot="1">
      <c r="A201" s="43"/>
      <c r="B201" s="47">
        <f t="shared" si="62"/>
        <v>407</v>
      </c>
      <c r="C201" s="578"/>
      <c r="D201" s="575" t="str">
        <f t="shared" si="60"/>
        <v/>
      </c>
      <c r="E201" s="47">
        <f t="shared" si="63"/>
        <v>413</v>
      </c>
      <c r="F201" s="661"/>
      <c r="G201" s="571" t="str">
        <f t="shared" si="61"/>
        <v/>
      </c>
      <c r="M201" s="31"/>
      <c r="AA201" s="50">
        <v>660.4</v>
      </c>
      <c r="AB201" s="51">
        <v>79.88</v>
      </c>
      <c r="AC201" s="52">
        <f t="shared" si="39"/>
        <v>9.7561943801335066E-2</v>
      </c>
    </row>
    <row r="202" spans="1:91" ht="15" customHeight="1" thickTop="1">
      <c r="A202" s="46"/>
      <c r="B202" s="44">
        <f t="shared" ref="B202:B212" si="64">IF(ISNUMBER($G$45),B203+$G$45,"")</f>
        <v>398</v>
      </c>
      <c r="C202" s="576"/>
      <c r="D202" s="574" t="str">
        <f t="shared" ref="D202:D213" si="65">IF(C202&lt;&gt;"",IF(C202 = LARGE($C$202:$C$226,1), C202, ""), "")</f>
        <v/>
      </c>
      <c r="E202" s="44">
        <f t="shared" ref="E202:E212" si="66">IF(ISNUMBER($G$45),E203+$G$45,"")</f>
        <v>397.5</v>
      </c>
      <c r="F202" s="660"/>
      <c r="G202" s="36" t="str">
        <f t="shared" ref="G202:G213" si="67">IF(F202 &lt;&gt;"", IF(F202 = LARGE($E$202:$E$226,1), F202, ""), "")</f>
        <v/>
      </c>
      <c r="M202" s="31"/>
      <c r="AA202" s="50">
        <v>660.3</v>
      </c>
      <c r="AB202" s="51">
        <v>79.989999999999995</v>
      </c>
      <c r="AC202" s="52">
        <f t="shared" ref="AC202:AC265" si="68">-LOG(AB202/100)</f>
        <v>9.6964303211502761E-2</v>
      </c>
    </row>
    <row r="203" spans="1:91" ht="15" customHeight="1" thickBot="1">
      <c r="A203" s="46"/>
      <c r="B203" s="42">
        <f t="shared" si="64"/>
        <v>397</v>
      </c>
      <c r="C203" s="577"/>
      <c r="D203" s="574" t="str">
        <f t="shared" si="65"/>
        <v/>
      </c>
      <c r="E203" s="42">
        <f t="shared" si="66"/>
        <v>396.5</v>
      </c>
      <c r="F203" s="655"/>
      <c r="G203" s="36" t="str">
        <f t="shared" si="67"/>
        <v/>
      </c>
      <c r="M203" s="31"/>
      <c r="U203" s="589" t="s">
        <v>343</v>
      </c>
      <c r="AA203" s="50">
        <v>660.2</v>
      </c>
      <c r="AB203" s="51">
        <v>80.063999999999993</v>
      </c>
      <c r="AC203" s="52">
        <f t="shared" si="68"/>
        <v>9.6562716322692921E-2</v>
      </c>
    </row>
    <row r="204" spans="1:91" ht="15" customHeight="1">
      <c r="A204" s="46"/>
      <c r="B204" s="42">
        <f t="shared" si="64"/>
        <v>396</v>
      </c>
      <c r="C204" s="577"/>
      <c r="D204" s="574" t="str">
        <f t="shared" si="65"/>
        <v/>
      </c>
      <c r="E204" s="42">
        <f t="shared" si="66"/>
        <v>395.5</v>
      </c>
      <c r="F204" s="655"/>
      <c r="G204" s="36" t="str">
        <f t="shared" si="67"/>
        <v/>
      </c>
      <c r="M204" s="31"/>
      <c r="U204" s="103" t="s">
        <v>88</v>
      </c>
      <c r="V204" s="104" t="s">
        <v>89</v>
      </c>
      <c r="W204" s="105" t="s">
        <v>90</v>
      </c>
      <c r="X204" s="104" t="s">
        <v>91</v>
      </c>
      <c r="Y204" s="106" t="s">
        <v>96</v>
      </c>
      <c r="AA204" s="50">
        <v>660.1</v>
      </c>
      <c r="AB204" s="51">
        <v>80.167000000000002</v>
      </c>
      <c r="AC204" s="52">
        <f t="shared" si="68"/>
        <v>9.6004368215304572E-2</v>
      </c>
      <c r="AD204" s="746" t="s">
        <v>95</v>
      </c>
      <c r="AE204" s="587">
        <v>380</v>
      </c>
      <c r="AF204" s="50">
        <f t="shared" ref="AF204:AG204" si="69">AE204+0.2</f>
        <v>380.2</v>
      </c>
      <c r="AG204" s="50">
        <f t="shared" si="69"/>
        <v>380.4</v>
      </c>
      <c r="AH204" s="50">
        <f t="shared" ref="AH204" si="70">AG204+0.2</f>
        <v>380.59999999999997</v>
      </c>
      <c r="AI204" s="50">
        <f t="shared" ref="AI204" si="71">AH204+0.2</f>
        <v>380.79999999999995</v>
      </c>
      <c r="AJ204" s="50">
        <f t="shared" ref="AJ204" si="72">AI204+0.2</f>
        <v>380.99999999999994</v>
      </c>
      <c r="AK204" s="50">
        <f t="shared" ref="AK204" si="73">AJ204+0.2</f>
        <v>381.19999999999993</v>
      </c>
      <c r="AL204" s="50">
        <f t="shared" ref="AL204" si="74">AK204+0.2</f>
        <v>381.39999999999992</v>
      </c>
      <c r="AM204" s="50">
        <f t="shared" ref="AM204" si="75">AL204+0.2</f>
        <v>381.59999999999991</v>
      </c>
      <c r="AN204" s="50">
        <f t="shared" ref="AN204" si="76">AM204+0.2</f>
        <v>381.7999999999999</v>
      </c>
      <c r="AO204" s="50">
        <f t="shared" ref="AO204" si="77">AN204+0.2</f>
        <v>381.99999999999989</v>
      </c>
      <c r="AP204" s="50">
        <f t="shared" ref="AP204" si="78">AO204+0.2</f>
        <v>382.19999999999987</v>
      </c>
      <c r="AQ204" s="50">
        <f t="shared" ref="AQ204" si="79">AP204+0.2</f>
        <v>382.39999999999986</v>
      </c>
      <c r="AR204" s="50">
        <f t="shared" ref="AR204" si="80">AQ204+0.2</f>
        <v>382.59999999999985</v>
      </c>
      <c r="AS204" s="50">
        <f t="shared" ref="AS204" si="81">AR204+0.2</f>
        <v>382.79999999999984</v>
      </c>
      <c r="AT204" s="50">
        <f t="shared" ref="AT204" si="82">AS204+0.2</f>
        <v>382.99999999999983</v>
      </c>
      <c r="AU204" s="50">
        <f t="shared" ref="AU204" si="83">AT204+0.2</f>
        <v>383.19999999999982</v>
      </c>
      <c r="AV204" s="50">
        <f t="shared" ref="AV204" si="84">AU204+0.2</f>
        <v>383.39999999999981</v>
      </c>
      <c r="AW204" s="50">
        <f t="shared" ref="AW204" si="85">AV204+0.2</f>
        <v>383.5999999999998</v>
      </c>
      <c r="AX204" s="50">
        <f t="shared" ref="AX204" si="86">AW204+0.2</f>
        <v>383.79999999999978</v>
      </c>
      <c r="AY204" s="50">
        <f t="shared" ref="AY204" si="87">AX204+0.2</f>
        <v>383.99999999999977</v>
      </c>
      <c r="AZ204" s="50">
        <f t="shared" ref="AZ204" si="88">AY204+0.2</f>
        <v>384.19999999999976</v>
      </c>
      <c r="BA204" s="50">
        <f t="shared" ref="BA204" si="89">AZ204+0.2</f>
        <v>384.39999999999975</v>
      </c>
      <c r="BB204" s="50">
        <f t="shared" ref="BB204" si="90">BA204+0.2</f>
        <v>384.59999999999974</v>
      </c>
      <c r="BC204" s="50">
        <f t="shared" ref="BC204" si="91">BB204+0.2</f>
        <v>384.79999999999973</v>
      </c>
      <c r="BD204" s="50">
        <f t="shared" ref="BD204" si="92">BC204+0.2</f>
        <v>384.99999999999972</v>
      </c>
      <c r="BE204" s="50">
        <f t="shared" ref="BE204" si="93">BD204+0.2</f>
        <v>385.1999999999997</v>
      </c>
      <c r="BF204" s="50">
        <f t="shared" ref="BF204" si="94">BE204+0.2</f>
        <v>385.39999999999969</v>
      </c>
      <c r="BG204" s="50">
        <f t="shared" ref="BG204" si="95">BF204+0.2</f>
        <v>385.59999999999968</v>
      </c>
      <c r="BH204" s="50">
        <f t="shared" ref="BH204" si="96">BG204+0.2</f>
        <v>385.79999999999967</v>
      </c>
      <c r="BI204" s="50">
        <f t="shared" ref="BI204" si="97">BH204+0.2</f>
        <v>385.99999999999966</v>
      </c>
      <c r="BJ204" s="50">
        <f t="shared" ref="BJ204" si="98">BI204+0.2</f>
        <v>386.19999999999965</v>
      </c>
      <c r="BK204" s="50">
        <f t="shared" ref="BK204" si="99">BJ204+0.2</f>
        <v>386.39999999999964</v>
      </c>
      <c r="BL204" s="50">
        <f t="shared" ref="BL204" si="100">BK204+0.2</f>
        <v>386.59999999999962</v>
      </c>
      <c r="BM204" s="50">
        <f t="shared" ref="BM204" si="101">BL204+0.2</f>
        <v>386.79999999999961</v>
      </c>
      <c r="BN204" s="50">
        <f t="shared" ref="BN204" si="102">BM204+0.2</f>
        <v>386.9999999999996</v>
      </c>
      <c r="BO204" s="50">
        <f t="shared" ref="BO204" si="103">BN204+0.2</f>
        <v>387.19999999999959</v>
      </c>
      <c r="BP204" s="50">
        <f t="shared" ref="BP204" si="104">BO204+0.2</f>
        <v>387.39999999999958</v>
      </c>
      <c r="BQ204" s="50">
        <f t="shared" ref="BQ204" si="105">BP204+0.2</f>
        <v>387.59999999999957</v>
      </c>
      <c r="BR204" s="50">
        <f t="shared" ref="BR204" si="106">BQ204+0.2</f>
        <v>387.79999999999956</v>
      </c>
      <c r="BS204" s="50">
        <f t="shared" ref="BS204" si="107">BR204+0.2</f>
        <v>387.99999999999955</v>
      </c>
      <c r="BT204" s="50">
        <f t="shared" ref="BT204" si="108">BS204+0.2</f>
        <v>388.19999999999953</v>
      </c>
      <c r="BU204" s="50">
        <f t="shared" ref="BU204" si="109">BT204+0.2</f>
        <v>388.39999999999952</v>
      </c>
      <c r="BV204" s="50">
        <f t="shared" ref="BV204" si="110">BU204+0.2</f>
        <v>388.59999999999951</v>
      </c>
      <c r="BW204" s="50">
        <f t="shared" ref="BW204" si="111">BV204+0.2</f>
        <v>388.7999999999995</v>
      </c>
      <c r="BX204" s="50">
        <f t="shared" ref="BX204" si="112">BW204+0.2</f>
        <v>388.99999999999949</v>
      </c>
      <c r="BY204" s="50">
        <f t="shared" ref="BY204" si="113">BX204+0.2</f>
        <v>389.19999999999948</v>
      </c>
      <c r="BZ204" s="50">
        <f t="shared" ref="BZ204" si="114">BY204+0.2</f>
        <v>389.39999999999947</v>
      </c>
      <c r="CA204" s="50">
        <f t="shared" ref="CA204" si="115">BZ204+0.2</f>
        <v>389.59999999999945</v>
      </c>
      <c r="CB204" s="50">
        <f t="shared" ref="CB204" si="116">CA204+0.2</f>
        <v>389.79999999999944</v>
      </c>
      <c r="CC204" s="50">
        <f t="shared" ref="CC204" si="117">CB204+0.2</f>
        <v>389.99999999999943</v>
      </c>
      <c r="CD204" s="50">
        <f t="shared" ref="CD204" si="118">CC204+0.2</f>
        <v>390.19999999999942</v>
      </c>
      <c r="CE204" s="50">
        <f t="shared" ref="CE204" si="119">CD204+0.2</f>
        <v>390.39999999999941</v>
      </c>
      <c r="CF204" s="50">
        <f t="shared" ref="CF204" si="120">CE204+0.2</f>
        <v>390.5999999999994</v>
      </c>
      <c r="CG204" s="50">
        <f t="shared" ref="CG204" si="121">CF204+0.2</f>
        <v>390.79999999999939</v>
      </c>
      <c r="CH204" s="50">
        <f t="shared" ref="CH204" si="122">CG204+0.2</f>
        <v>390.99999999999937</v>
      </c>
      <c r="CI204" s="50">
        <f t="shared" ref="CI204" si="123">CH204+0.2</f>
        <v>391.19999999999936</v>
      </c>
      <c r="CJ204" s="50">
        <f t="shared" ref="CJ204" si="124">CI204+0.2</f>
        <v>391.39999999999935</v>
      </c>
      <c r="CK204" s="50">
        <f t="shared" ref="CK204" si="125">CJ204+0.2</f>
        <v>391.59999999999934</v>
      </c>
      <c r="CL204" s="50">
        <f t="shared" ref="CL204" si="126">CK204+0.2</f>
        <v>391.79999999999933</v>
      </c>
      <c r="CM204" s="50">
        <f t="shared" ref="CM204" si="127">CL204+0.2</f>
        <v>391.99999999999932</v>
      </c>
    </row>
    <row r="205" spans="1:91" ht="15" customHeight="1" thickBot="1">
      <c r="A205" s="46"/>
      <c r="B205" s="42">
        <f t="shared" si="64"/>
        <v>395</v>
      </c>
      <c r="C205" s="577"/>
      <c r="D205" s="574" t="str">
        <f t="shared" si="65"/>
        <v/>
      </c>
      <c r="E205" s="42">
        <f t="shared" si="66"/>
        <v>394.5</v>
      </c>
      <c r="F205" s="655"/>
      <c r="G205" s="36" t="str">
        <f t="shared" si="67"/>
        <v/>
      </c>
      <c r="M205" s="31"/>
      <c r="U205" s="588">
        <v>383.6</v>
      </c>
      <c r="V205" s="515">
        <v>7.3700000000000002E-2</v>
      </c>
      <c r="W205" s="115">
        <v>385.8</v>
      </c>
      <c r="X205" s="515">
        <v>0.10879999999999999</v>
      </c>
      <c r="Y205" s="516">
        <v>9.1249999999999998E-2</v>
      </c>
      <c r="AA205" s="50">
        <v>660</v>
      </c>
      <c r="AB205" s="51">
        <v>80.210999999999999</v>
      </c>
      <c r="AC205" s="52">
        <f t="shared" si="68"/>
        <v>9.5766069225627928E-2</v>
      </c>
      <c r="AD205" s="746"/>
      <c r="AE205">
        <v>9.1200000000000003E-2</v>
      </c>
      <c r="AF205">
        <v>9.1200000000000003E-2</v>
      </c>
      <c r="AG205">
        <v>9.1200000000000003E-2</v>
      </c>
      <c r="AH205">
        <v>9.1200000000000003E-2</v>
      </c>
      <c r="AI205">
        <v>9.1200000000000003E-2</v>
      </c>
      <c r="AJ205">
        <v>9.1200000000000003E-2</v>
      </c>
      <c r="AK205">
        <v>9.1200000000000003E-2</v>
      </c>
      <c r="AL205">
        <v>9.1200000000000003E-2</v>
      </c>
      <c r="AM205">
        <v>9.1200000000000003E-2</v>
      </c>
      <c r="AN205">
        <v>9.1200000000000003E-2</v>
      </c>
      <c r="AO205">
        <v>9.1200000000000003E-2</v>
      </c>
      <c r="AP205">
        <v>9.1200000000000003E-2</v>
      </c>
      <c r="AQ205">
        <v>9.1200000000000003E-2</v>
      </c>
      <c r="AR205">
        <v>9.1200000000000003E-2</v>
      </c>
      <c r="AS205">
        <v>9.1200000000000003E-2</v>
      </c>
      <c r="AT205">
        <v>9.1200000000000003E-2</v>
      </c>
      <c r="AU205">
        <v>9.1200000000000003E-2</v>
      </c>
      <c r="AV205">
        <v>9.1200000000000003E-2</v>
      </c>
      <c r="AW205">
        <v>9.1200000000000003E-2</v>
      </c>
      <c r="AX205">
        <v>9.1200000000000003E-2</v>
      </c>
      <c r="AY205">
        <v>9.1200000000000003E-2</v>
      </c>
      <c r="AZ205">
        <v>9.1200000000000003E-2</v>
      </c>
      <c r="BA205">
        <v>9.1200000000000003E-2</v>
      </c>
      <c r="BB205">
        <v>9.1200000000000003E-2</v>
      </c>
      <c r="BC205">
        <v>9.1200000000000003E-2</v>
      </c>
      <c r="BD205">
        <v>9.1200000000000003E-2</v>
      </c>
      <c r="BE205">
        <v>9.1200000000000003E-2</v>
      </c>
      <c r="BF205">
        <v>9.1200000000000003E-2</v>
      </c>
      <c r="BG205">
        <v>9.1200000000000003E-2</v>
      </c>
      <c r="BH205">
        <v>9.1200000000000003E-2</v>
      </c>
      <c r="BI205">
        <v>9.1200000000000003E-2</v>
      </c>
      <c r="BJ205">
        <v>9.1200000000000003E-2</v>
      </c>
      <c r="BK205">
        <v>9.1200000000000003E-2</v>
      </c>
      <c r="BL205">
        <v>9.1200000000000003E-2</v>
      </c>
      <c r="BM205">
        <v>9.1200000000000003E-2</v>
      </c>
      <c r="BN205">
        <v>9.1200000000000003E-2</v>
      </c>
      <c r="BO205">
        <v>9.1200000000000003E-2</v>
      </c>
      <c r="BP205">
        <v>9.1200000000000003E-2</v>
      </c>
      <c r="BQ205">
        <v>9.1200000000000003E-2</v>
      </c>
      <c r="BR205">
        <v>9.1200000000000003E-2</v>
      </c>
      <c r="BS205">
        <v>9.1200000000000003E-2</v>
      </c>
      <c r="BT205">
        <v>9.1200000000000003E-2</v>
      </c>
      <c r="BU205">
        <v>9.1200000000000003E-2</v>
      </c>
      <c r="BV205">
        <v>9.1200000000000003E-2</v>
      </c>
      <c r="BW205">
        <v>9.1200000000000003E-2</v>
      </c>
      <c r="BX205">
        <v>9.1200000000000003E-2</v>
      </c>
      <c r="BY205">
        <v>9.1200000000000003E-2</v>
      </c>
      <c r="BZ205">
        <v>9.1200000000000003E-2</v>
      </c>
      <c r="CA205">
        <v>9.1200000000000003E-2</v>
      </c>
      <c r="CB205">
        <v>9.1200000000000003E-2</v>
      </c>
      <c r="CC205">
        <v>9.1200000000000003E-2</v>
      </c>
      <c r="CD205">
        <v>9.1200000000000003E-2</v>
      </c>
      <c r="CE205">
        <v>9.1200000000000003E-2</v>
      </c>
      <c r="CF205">
        <v>9.1200000000000003E-2</v>
      </c>
      <c r="CG205">
        <v>9.1200000000000003E-2</v>
      </c>
      <c r="CH205">
        <v>9.1200000000000003E-2</v>
      </c>
      <c r="CI205">
        <v>9.1200000000000003E-2</v>
      </c>
      <c r="CJ205">
        <v>9.1200000000000003E-2</v>
      </c>
      <c r="CK205">
        <v>9.1200000000000003E-2</v>
      </c>
      <c r="CL205">
        <v>9.1200000000000003E-2</v>
      </c>
      <c r="CM205">
        <v>9.1200000000000003E-2</v>
      </c>
    </row>
    <row r="206" spans="1:91" ht="15" customHeight="1">
      <c r="A206" s="46"/>
      <c r="B206" s="42">
        <f t="shared" si="64"/>
        <v>394</v>
      </c>
      <c r="C206" s="577"/>
      <c r="D206" s="574" t="str">
        <f t="shared" si="65"/>
        <v/>
      </c>
      <c r="E206" s="42">
        <f t="shared" si="66"/>
        <v>393.5</v>
      </c>
      <c r="F206" s="655"/>
      <c r="G206" s="36" t="str">
        <f t="shared" si="67"/>
        <v/>
      </c>
      <c r="M206" s="31"/>
      <c r="AA206" s="50">
        <v>659.9</v>
      </c>
      <c r="AB206" s="51">
        <v>80.233000000000004</v>
      </c>
      <c r="AC206" s="52">
        <f t="shared" si="68"/>
        <v>9.5646968746186486E-2</v>
      </c>
    </row>
    <row r="207" spans="1:91" ht="15" customHeight="1" thickBot="1">
      <c r="A207" s="46"/>
      <c r="B207" s="42">
        <f t="shared" si="64"/>
        <v>393</v>
      </c>
      <c r="C207" s="577"/>
      <c r="D207" s="574" t="str">
        <f t="shared" si="65"/>
        <v/>
      </c>
      <c r="E207" s="42">
        <f t="shared" si="66"/>
        <v>392.5</v>
      </c>
      <c r="F207" s="655"/>
      <c r="G207" s="36" t="str">
        <f t="shared" si="67"/>
        <v/>
      </c>
      <c r="M207" s="31"/>
      <c r="AA207" s="50">
        <v>659.8</v>
      </c>
      <c r="AB207" s="51">
        <v>80.290999999999997</v>
      </c>
      <c r="AC207" s="52">
        <f t="shared" si="68"/>
        <v>9.5333133045026122E-2</v>
      </c>
    </row>
    <row r="208" spans="1:91" ht="15" customHeight="1">
      <c r="A208" s="590" t="s">
        <v>352</v>
      </c>
      <c r="B208" s="42">
        <f t="shared" si="64"/>
        <v>392</v>
      </c>
      <c r="C208" s="577">
        <v>5.7000000000000002E-2</v>
      </c>
      <c r="D208" s="574" t="str">
        <f t="shared" si="65"/>
        <v/>
      </c>
      <c r="E208" s="42">
        <f t="shared" si="66"/>
        <v>391.5</v>
      </c>
      <c r="F208" s="655">
        <v>5.7000000000000002E-2</v>
      </c>
      <c r="G208" s="36" t="str">
        <f t="shared" si="67"/>
        <v/>
      </c>
      <c r="M208" s="31"/>
      <c r="U208" s="95" t="s">
        <v>87</v>
      </c>
      <c r="V208" s="96">
        <f>X209 - X208</f>
        <v>2.3999999999999773</v>
      </c>
      <c r="W208" s="97" t="s">
        <v>92</v>
      </c>
      <c r="X208" s="117">
        <v>384.8</v>
      </c>
      <c r="Y208" s="98" t="s">
        <v>53</v>
      </c>
      <c r="AA208" s="50">
        <v>659.7</v>
      </c>
      <c r="AB208" s="51">
        <v>80.370999999999995</v>
      </c>
      <c r="AC208" s="52">
        <f t="shared" si="68"/>
        <v>9.49006280167837E-2</v>
      </c>
    </row>
    <row r="209" spans="1:29" ht="15" customHeight="1" thickBot="1">
      <c r="B209" s="42">
        <f t="shared" si="64"/>
        <v>391</v>
      </c>
      <c r="C209" s="577">
        <v>5.8999999999999997E-2</v>
      </c>
      <c r="D209" s="574" t="str">
        <f t="shared" si="65"/>
        <v/>
      </c>
      <c r="E209" s="42">
        <f t="shared" si="66"/>
        <v>390.5</v>
      </c>
      <c r="F209" s="655">
        <v>0.06</v>
      </c>
      <c r="G209" s="36" t="str">
        <f t="shared" si="67"/>
        <v/>
      </c>
      <c r="M209" s="31"/>
      <c r="U209" s="99" t="s">
        <v>93</v>
      </c>
      <c r="V209" s="100">
        <f>X205 - Y205</f>
        <v>1.7549999999999996E-2</v>
      </c>
      <c r="W209" s="101" t="s">
        <v>94</v>
      </c>
      <c r="X209" s="118">
        <v>387.2</v>
      </c>
      <c r="Y209" s="102" t="s">
        <v>53</v>
      </c>
      <c r="AA209" s="50">
        <v>659.6</v>
      </c>
      <c r="AB209" s="51">
        <v>80.409000000000006</v>
      </c>
      <c r="AC209" s="52">
        <f t="shared" si="68"/>
        <v>9.4695338918393088E-2</v>
      </c>
    </row>
    <row r="210" spans="1:29" ht="15" customHeight="1">
      <c r="A210" s="46"/>
      <c r="B210" s="42">
        <f t="shared" si="64"/>
        <v>390</v>
      </c>
      <c r="C210" s="577">
        <v>6.2E-2</v>
      </c>
      <c r="D210" s="574" t="str">
        <f t="shared" si="65"/>
        <v/>
      </c>
      <c r="E210" s="42">
        <f t="shared" si="66"/>
        <v>389.5</v>
      </c>
      <c r="F210" s="655">
        <v>6.3E-2</v>
      </c>
      <c r="G210" s="36" t="str">
        <f t="shared" si="67"/>
        <v/>
      </c>
      <c r="M210" s="31"/>
      <c r="AA210" s="50">
        <v>659.5</v>
      </c>
      <c r="AB210" s="51">
        <v>80.417000000000002</v>
      </c>
      <c r="AC210" s="52">
        <f t="shared" si="68"/>
        <v>9.4652132523182234E-2</v>
      </c>
    </row>
    <row r="211" spans="1:29" ht="15" customHeight="1">
      <c r="A211" s="46"/>
      <c r="B211" s="42">
        <f t="shared" si="64"/>
        <v>389</v>
      </c>
      <c r="C211" s="577">
        <v>6.8000000000000005E-2</v>
      </c>
      <c r="D211" s="574" t="str">
        <f t="shared" si="65"/>
        <v/>
      </c>
      <c r="E211" s="42">
        <f t="shared" si="66"/>
        <v>388.5</v>
      </c>
      <c r="F211" s="655">
        <v>6.9000000000000006E-2</v>
      </c>
      <c r="G211" s="36" t="str">
        <f t="shared" si="67"/>
        <v/>
      </c>
      <c r="M211" s="31"/>
      <c r="AA211" s="50">
        <v>659.4</v>
      </c>
      <c r="AB211" s="51">
        <v>80.456999999999994</v>
      </c>
      <c r="AC211" s="52">
        <f t="shared" si="68"/>
        <v>9.4436165000349279E-2</v>
      </c>
    </row>
    <row r="212" spans="1:29" ht="15" customHeight="1">
      <c r="A212" s="46"/>
      <c r="B212" s="42">
        <f t="shared" si="64"/>
        <v>388</v>
      </c>
      <c r="C212" s="577">
        <v>7.2999999999999995E-2</v>
      </c>
      <c r="D212" s="574" t="str">
        <f t="shared" si="65"/>
        <v/>
      </c>
      <c r="E212" s="42">
        <f t="shared" si="66"/>
        <v>387.5</v>
      </c>
      <c r="F212" s="655">
        <v>7.4999999999999997E-2</v>
      </c>
      <c r="G212" s="36" t="str">
        <f t="shared" si="67"/>
        <v/>
      </c>
      <c r="AA212" s="50">
        <v>659.3</v>
      </c>
      <c r="AB212" s="51">
        <v>80.471999999999994</v>
      </c>
      <c r="AC212" s="52">
        <f t="shared" si="68"/>
        <v>9.4355204859573938E-2</v>
      </c>
    </row>
    <row r="213" spans="1:29" ht="15" customHeight="1">
      <c r="A213" s="59" t="s">
        <v>343</v>
      </c>
      <c r="B213" s="42">
        <f>IF(ISNUMBER($G$45),B214+$G$45,"")</f>
        <v>387</v>
      </c>
      <c r="C213" s="577">
        <v>7.8E-2</v>
      </c>
      <c r="D213" s="574" t="str">
        <f t="shared" si="65"/>
        <v/>
      </c>
      <c r="E213" s="42">
        <f>IF(ISNUMBER($G$45),E214+$K$45,"")</f>
        <v>386.5</v>
      </c>
      <c r="F213" s="655">
        <v>7.9000000000000001E-2</v>
      </c>
      <c r="G213" s="36" t="str">
        <f t="shared" si="67"/>
        <v/>
      </c>
      <c r="AA213" s="50">
        <v>659.2</v>
      </c>
      <c r="AB213" s="51">
        <v>80.548000000000002</v>
      </c>
      <c r="AC213" s="52">
        <f t="shared" si="68"/>
        <v>9.3945238605994852E-2</v>
      </c>
    </row>
    <row r="214" spans="1:29" ht="15" customHeight="1">
      <c r="A214" s="45">
        <v>385.8</v>
      </c>
      <c r="B214" s="122">
        <f>ROUNDUP($A$214,0)</f>
        <v>386</v>
      </c>
      <c r="C214" s="577">
        <v>0.08</v>
      </c>
      <c r="D214" s="574">
        <f>IF(C214&lt;&gt;"",IF(C214 = LARGE($C$202:$C$226,1), C214, ""), "")</f>
        <v>0.08</v>
      </c>
      <c r="E214" s="122">
        <f>ROUNDUP($A$214,0)</f>
        <v>386</v>
      </c>
      <c r="F214" s="655">
        <v>8.1000000000000003E-2</v>
      </c>
      <c r="G214" s="36" t="str">
        <f>IF(F214 &lt;&gt;"", IF(F214 = LARGE($E$202:$E$226,1), F214, ""), "")</f>
        <v/>
      </c>
      <c r="AA214" s="50">
        <v>659.1</v>
      </c>
      <c r="AB214" s="51">
        <v>80.635000000000005</v>
      </c>
      <c r="AC214" s="52">
        <f t="shared" si="68"/>
        <v>9.347640971467408E-2</v>
      </c>
    </row>
    <row r="215" spans="1:29" ht="15" customHeight="1">
      <c r="A215" s="46"/>
      <c r="B215" s="42">
        <f>IF(ISNUMBER($G$45),B214-$G$45,"")</f>
        <v>385</v>
      </c>
      <c r="C215" s="577">
        <v>0.08</v>
      </c>
      <c r="D215" s="574">
        <f t="shared" ref="D215:D226" si="128">IF(C215&lt;&gt;"",IF(C215 = LARGE($C$202:$C$226,1), C215, ""), "")</f>
        <v>0.08</v>
      </c>
      <c r="E215" s="42">
        <f>IF(ISNUMBER($G$45),E214-$K$45,"")</f>
        <v>385.5</v>
      </c>
      <c r="F215" s="655">
        <v>0.08</v>
      </c>
      <c r="G215" s="36" t="str">
        <f t="shared" ref="G215:G226" si="129">IF(F215 &lt;&gt;"", IF(F215 = LARGE($E$202:$E$226,1), F215, ""), "")</f>
        <v/>
      </c>
      <c r="AA215" s="50">
        <v>659</v>
      </c>
      <c r="AB215" s="51">
        <v>80.697000000000003</v>
      </c>
      <c r="AC215" s="52">
        <f t="shared" si="68"/>
        <v>9.3142610354304683E-2</v>
      </c>
    </row>
    <row r="216" spans="1:29" ht="15" customHeight="1">
      <c r="A216" s="46"/>
      <c r="B216" s="42">
        <f t="shared" ref="B216:B226" si="130">IF(ISNUMBER($G$45),B215-$G$45,"")</f>
        <v>384</v>
      </c>
      <c r="C216" s="577">
        <v>7.9000000000000001E-2</v>
      </c>
      <c r="D216" s="574" t="str">
        <f t="shared" si="128"/>
        <v/>
      </c>
      <c r="E216" s="42">
        <f t="shared" ref="E216:E226" si="131">IF(ISNUMBER($G$45),E215-$K$45,"")</f>
        <v>385</v>
      </c>
      <c r="F216" s="655">
        <v>7.9000000000000001E-2</v>
      </c>
      <c r="G216" s="36" t="str">
        <f t="shared" si="129"/>
        <v/>
      </c>
      <c r="AA216" s="50">
        <v>658.9</v>
      </c>
      <c r="AB216" s="51">
        <v>80.754000000000005</v>
      </c>
      <c r="AC216" s="52">
        <f t="shared" si="68"/>
        <v>9.2835956490321336E-2</v>
      </c>
    </row>
    <row r="217" spans="1:29" ht="15" customHeight="1">
      <c r="A217" s="46"/>
      <c r="B217" s="42">
        <f t="shared" si="130"/>
        <v>383</v>
      </c>
      <c r="C217" s="577">
        <v>7.5999999999999998E-2</v>
      </c>
      <c r="D217" s="574" t="str">
        <f t="shared" si="128"/>
        <v/>
      </c>
      <c r="E217" s="42">
        <f t="shared" si="131"/>
        <v>384.5</v>
      </c>
      <c r="F217" s="655">
        <v>7.4999999999999997E-2</v>
      </c>
      <c r="G217" s="36" t="str">
        <f t="shared" si="129"/>
        <v/>
      </c>
      <c r="AA217" s="50">
        <v>658.8</v>
      </c>
      <c r="AB217" s="51">
        <v>80.826999999999998</v>
      </c>
      <c r="AC217" s="52">
        <f t="shared" si="68"/>
        <v>9.2443540310994096E-2</v>
      </c>
    </row>
    <row r="218" spans="1:29" ht="15" customHeight="1">
      <c r="A218" s="46"/>
      <c r="B218" s="42">
        <f t="shared" si="130"/>
        <v>382</v>
      </c>
      <c r="C218" s="577">
        <v>7.2999999999999995E-2</v>
      </c>
      <c r="D218" s="574" t="str">
        <f t="shared" si="128"/>
        <v/>
      </c>
      <c r="E218" s="42">
        <f t="shared" si="131"/>
        <v>384</v>
      </c>
      <c r="F218" s="655">
        <v>7.1999999999999995E-2</v>
      </c>
      <c r="G218" s="36" t="str">
        <f t="shared" si="129"/>
        <v/>
      </c>
      <c r="AA218" s="50">
        <v>658.7</v>
      </c>
      <c r="AB218" s="51">
        <v>80.875</v>
      </c>
      <c r="AC218" s="52">
        <f t="shared" si="68"/>
        <v>9.2185706323243216E-2</v>
      </c>
    </row>
    <row r="219" spans="1:29" ht="15" customHeight="1">
      <c r="A219" s="46"/>
      <c r="B219" s="42">
        <f t="shared" si="130"/>
        <v>381</v>
      </c>
      <c r="C219" s="577">
        <v>6.9000000000000006E-2</v>
      </c>
      <c r="D219" s="574" t="str">
        <f t="shared" si="128"/>
        <v/>
      </c>
      <c r="E219" s="42">
        <f t="shared" si="131"/>
        <v>383.5</v>
      </c>
      <c r="F219" s="655">
        <v>6.8000000000000005E-2</v>
      </c>
      <c r="G219" s="36" t="str">
        <f t="shared" si="129"/>
        <v/>
      </c>
      <c r="AA219" s="50">
        <v>658.6</v>
      </c>
      <c r="AB219" s="51">
        <v>80.930000000000007</v>
      </c>
      <c r="AC219" s="52">
        <f t="shared" si="68"/>
        <v>9.1890459607447822E-2</v>
      </c>
    </row>
    <row r="220" spans="1:29" ht="15" customHeight="1">
      <c r="A220" s="590" t="s">
        <v>351</v>
      </c>
      <c r="B220" s="42">
        <f t="shared" si="130"/>
        <v>380</v>
      </c>
      <c r="C220" s="577">
        <v>6.3E-2</v>
      </c>
      <c r="D220" s="574" t="str">
        <f t="shared" si="128"/>
        <v/>
      </c>
      <c r="E220" s="42">
        <f t="shared" si="131"/>
        <v>383</v>
      </c>
      <c r="F220" s="655">
        <v>6.3E-2</v>
      </c>
      <c r="G220" s="36" t="str">
        <f t="shared" si="129"/>
        <v/>
      </c>
      <c r="AA220" s="50">
        <v>658.5</v>
      </c>
      <c r="AB220" s="51">
        <v>80.948999999999998</v>
      </c>
      <c r="AC220" s="52">
        <f t="shared" si="68"/>
        <v>9.1788511915726845E-2</v>
      </c>
    </row>
    <row r="221" spans="1:29" ht="15" customHeight="1">
      <c r="A221" s="46"/>
      <c r="B221" s="42">
        <f t="shared" si="130"/>
        <v>379</v>
      </c>
      <c r="C221" s="577"/>
      <c r="D221" s="574" t="str">
        <f t="shared" si="128"/>
        <v/>
      </c>
      <c r="E221" s="42">
        <f t="shared" si="131"/>
        <v>382.5</v>
      </c>
      <c r="F221" s="655">
        <v>5.8999999999999997E-2</v>
      </c>
      <c r="G221" s="36" t="str">
        <f t="shared" si="129"/>
        <v/>
      </c>
      <c r="AA221" s="50">
        <v>658.4</v>
      </c>
      <c r="AB221" s="51">
        <v>81.013000000000005</v>
      </c>
      <c r="AC221" s="52">
        <f t="shared" si="68"/>
        <v>9.1445285130573456E-2</v>
      </c>
    </row>
    <row r="222" spans="1:29" ht="15" customHeight="1">
      <c r="A222" s="46"/>
      <c r="B222" s="42">
        <f t="shared" si="130"/>
        <v>378</v>
      </c>
      <c r="C222" s="577"/>
      <c r="D222" s="574" t="str">
        <f t="shared" si="128"/>
        <v/>
      </c>
      <c r="E222" s="42">
        <f t="shared" si="131"/>
        <v>382</v>
      </c>
      <c r="F222" s="655"/>
      <c r="G222" s="36" t="str">
        <f t="shared" si="129"/>
        <v/>
      </c>
      <c r="AA222" s="50">
        <v>658.3</v>
      </c>
      <c r="AB222" s="51">
        <v>81.052999999999997</v>
      </c>
      <c r="AC222" s="52">
        <f t="shared" si="68"/>
        <v>9.1230906055025582E-2</v>
      </c>
    </row>
    <row r="223" spans="1:29" ht="15" customHeight="1">
      <c r="A223" s="46"/>
      <c r="B223" s="42">
        <f t="shared" si="130"/>
        <v>377</v>
      </c>
      <c r="C223" s="577"/>
      <c r="D223" s="574" t="str">
        <f t="shared" si="128"/>
        <v/>
      </c>
      <c r="E223" s="42">
        <f t="shared" si="131"/>
        <v>381.5</v>
      </c>
      <c r="F223" s="655"/>
      <c r="G223" s="36" t="str">
        <f t="shared" si="129"/>
        <v/>
      </c>
      <c r="AA223" s="50">
        <v>658.2</v>
      </c>
      <c r="AB223" s="51">
        <v>81.13</v>
      </c>
      <c r="AC223" s="52">
        <f t="shared" si="68"/>
        <v>9.0818524022147226E-2</v>
      </c>
    </row>
    <row r="224" spans="1:29" ht="15" customHeight="1">
      <c r="A224" s="46"/>
      <c r="B224" s="42">
        <f t="shared" si="130"/>
        <v>376</v>
      </c>
      <c r="C224" s="577"/>
      <c r="D224" s="574" t="str">
        <f t="shared" si="128"/>
        <v/>
      </c>
      <c r="E224" s="42">
        <f t="shared" si="131"/>
        <v>381</v>
      </c>
      <c r="F224" s="655"/>
      <c r="G224" s="36" t="str">
        <f t="shared" si="129"/>
        <v/>
      </c>
      <c r="AA224" s="50">
        <v>658.1</v>
      </c>
      <c r="AB224" s="51">
        <v>81.173000000000002</v>
      </c>
      <c r="AC224" s="52">
        <f t="shared" si="68"/>
        <v>9.0588403036598222E-2</v>
      </c>
    </row>
    <row r="225" spans="1:91" ht="15" customHeight="1">
      <c r="A225" s="46"/>
      <c r="B225" s="42">
        <f t="shared" si="130"/>
        <v>375</v>
      </c>
      <c r="C225" s="577"/>
      <c r="D225" s="574" t="str">
        <f t="shared" si="128"/>
        <v/>
      </c>
      <c r="E225" s="42">
        <f t="shared" si="131"/>
        <v>380.5</v>
      </c>
      <c r="F225" s="655"/>
      <c r="G225" s="36" t="str">
        <f t="shared" si="129"/>
        <v/>
      </c>
      <c r="AA225" s="50">
        <v>658</v>
      </c>
      <c r="AB225" s="51">
        <v>81.218999999999994</v>
      </c>
      <c r="AC225" s="52">
        <f t="shared" si="68"/>
        <v>9.0342362016081534E-2</v>
      </c>
    </row>
    <row r="226" spans="1:91" ht="15" customHeight="1" thickBot="1">
      <c r="A226" s="43"/>
      <c r="B226" s="47">
        <f t="shared" si="130"/>
        <v>374</v>
      </c>
      <c r="C226" s="578"/>
      <c r="D226" s="575" t="str">
        <f t="shared" si="128"/>
        <v/>
      </c>
      <c r="E226" s="47">
        <f t="shared" si="131"/>
        <v>380</v>
      </c>
      <c r="F226" s="661"/>
      <c r="G226" s="571" t="str">
        <f t="shared" si="129"/>
        <v/>
      </c>
      <c r="AA226" s="50">
        <v>657.9</v>
      </c>
      <c r="AB226" s="51">
        <v>81.304000000000002</v>
      </c>
      <c r="AC226" s="52">
        <f t="shared" si="68"/>
        <v>8.9888087429375749E-2</v>
      </c>
    </row>
    <row r="227" spans="1:91" ht="15" customHeight="1" thickTop="1">
      <c r="A227" s="46"/>
      <c r="B227" s="42">
        <f t="shared" ref="B227:B237" si="132">IF(ISNUMBER($G$45),B228+$G$45,"")</f>
        <v>373</v>
      </c>
      <c r="C227" s="576"/>
      <c r="D227" s="574" t="str">
        <f t="shared" ref="D227:D238" si="133">IF(C227&lt;&gt;"",IF(C227 = LARGE($C$227:$C$251,1), C227, ""), "")</f>
        <v/>
      </c>
      <c r="E227" s="42">
        <f t="shared" ref="E227:E237" si="134">IF(ISNUMBER($G$45),E228+$K$45,"")</f>
        <v>367</v>
      </c>
      <c r="F227" s="660"/>
      <c r="G227" s="36" t="str">
        <f t="shared" ref="G227:G251" si="135">IF(F227 &lt;&gt;"", IF(F227 = LARGE($F$227:$F$251,1), F227, ""), "")</f>
        <v/>
      </c>
      <c r="AA227" s="50">
        <v>657.8</v>
      </c>
      <c r="AB227" s="51">
        <v>81.382999999999996</v>
      </c>
      <c r="AC227" s="52">
        <f t="shared" si="68"/>
        <v>8.9466304905054903E-2</v>
      </c>
    </row>
    <row r="228" spans="1:91" ht="15" customHeight="1" thickBot="1">
      <c r="A228" s="46"/>
      <c r="B228" s="42">
        <f t="shared" si="132"/>
        <v>372</v>
      </c>
      <c r="C228" s="577"/>
      <c r="D228" s="574" t="str">
        <f t="shared" si="133"/>
        <v/>
      </c>
      <c r="E228" s="42">
        <f t="shared" si="134"/>
        <v>366.5</v>
      </c>
      <c r="F228" s="655"/>
      <c r="G228" s="36" t="str">
        <f t="shared" si="135"/>
        <v/>
      </c>
      <c r="U228" s="589" t="s">
        <v>344</v>
      </c>
      <c r="AA228" s="50">
        <v>657.7</v>
      </c>
      <c r="AB228" s="51">
        <v>81.477999999999994</v>
      </c>
      <c r="AC228" s="52">
        <f t="shared" si="68"/>
        <v>8.8959639951992936E-2</v>
      </c>
    </row>
    <row r="229" spans="1:91" ht="15" customHeight="1">
      <c r="A229" s="46"/>
      <c r="B229" s="42">
        <f t="shared" si="132"/>
        <v>371</v>
      </c>
      <c r="C229" s="577"/>
      <c r="D229" s="574" t="str">
        <f t="shared" si="133"/>
        <v/>
      </c>
      <c r="E229" s="42">
        <f t="shared" si="134"/>
        <v>366</v>
      </c>
      <c r="F229" s="655"/>
      <c r="G229" s="36" t="str">
        <f t="shared" si="135"/>
        <v/>
      </c>
      <c r="U229" s="103" t="s">
        <v>88</v>
      </c>
      <c r="V229" s="104" t="s">
        <v>89</v>
      </c>
      <c r="W229" s="105" t="s">
        <v>90</v>
      </c>
      <c r="X229" s="104" t="s">
        <v>91</v>
      </c>
      <c r="Y229" s="106" t="s">
        <v>96</v>
      </c>
      <c r="AA229" s="50">
        <v>657.6</v>
      </c>
      <c r="AB229" s="51">
        <v>81.534999999999997</v>
      </c>
      <c r="AC229" s="52">
        <f t="shared" si="68"/>
        <v>8.8655924463321767E-2</v>
      </c>
      <c r="AD229" s="746" t="s">
        <v>95</v>
      </c>
      <c r="AE229" s="50">
        <v>354.8</v>
      </c>
      <c r="AF229" s="50">
        <f t="shared" ref="AF229:CM229" si="136">AE229+0.2</f>
        <v>355</v>
      </c>
      <c r="AG229" s="50">
        <f t="shared" si="136"/>
        <v>355.2</v>
      </c>
      <c r="AH229" s="50">
        <f t="shared" si="136"/>
        <v>355.4</v>
      </c>
      <c r="AI229" s="50">
        <f t="shared" si="136"/>
        <v>355.59999999999997</v>
      </c>
      <c r="AJ229" s="50">
        <f t="shared" si="136"/>
        <v>355.79999999999995</v>
      </c>
      <c r="AK229" s="50">
        <f t="shared" si="136"/>
        <v>355.99999999999994</v>
      </c>
      <c r="AL229" s="50">
        <f t="shared" si="136"/>
        <v>356.19999999999993</v>
      </c>
      <c r="AM229" s="50">
        <f t="shared" si="136"/>
        <v>356.39999999999992</v>
      </c>
      <c r="AN229" s="50">
        <f t="shared" si="136"/>
        <v>356.59999999999991</v>
      </c>
      <c r="AO229" s="50">
        <f t="shared" si="136"/>
        <v>356.7999999999999</v>
      </c>
      <c r="AP229" s="50">
        <f t="shared" si="136"/>
        <v>356.99999999999989</v>
      </c>
      <c r="AQ229" s="50">
        <f t="shared" si="136"/>
        <v>357.19999999999987</v>
      </c>
      <c r="AR229" s="50">
        <f t="shared" si="136"/>
        <v>357.39999999999986</v>
      </c>
      <c r="AS229" s="50">
        <f t="shared" si="136"/>
        <v>357.59999999999985</v>
      </c>
      <c r="AT229" s="50">
        <f t="shared" si="136"/>
        <v>357.79999999999984</v>
      </c>
      <c r="AU229" s="50">
        <f t="shared" si="136"/>
        <v>357.99999999999983</v>
      </c>
      <c r="AV229" s="50">
        <f t="shared" si="136"/>
        <v>358.19999999999982</v>
      </c>
      <c r="AW229" s="50">
        <f t="shared" si="136"/>
        <v>358.39999999999981</v>
      </c>
      <c r="AX229" s="50">
        <f t="shared" si="136"/>
        <v>358.5999999999998</v>
      </c>
      <c r="AY229" s="50">
        <f t="shared" si="136"/>
        <v>358.79999999999978</v>
      </c>
      <c r="AZ229" s="50">
        <f t="shared" si="136"/>
        <v>358.99999999999977</v>
      </c>
      <c r="BA229" s="50">
        <f t="shared" si="136"/>
        <v>359.19999999999976</v>
      </c>
      <c r="BB229" s="50">
        <f t="shared" si="136"/>
        <v>359.39999999999975</v>
      </c>
      <c r="BC229" s="50">
        <f t="shared" si="136"/>
        <v>359.59999999999974</v>
      </c>
      <c r="BD229" s="50">
        <f t="shared" si="136"/>
        <v>359.79999999999973</v>
      </c>
      <c r="BE229" s="50">
        <f t="shared" si="136"/>
        <v>359.99999999999972</v>
      </c>
      <c r="BF229" s="50">
        <f t="shared" si="136"/>
        <v>360.1999999999997</v>
      </c>
      <c r="BG229" s="50">
        <f t="shared" si="136"/>
        <v>360.39999999999969</v>
      </c>
      <c r="BH229" s="50">
        <f t="shared" si="136"/>
        <v>360.59999999999968</v>
      </c>
      <c r="BI229" s="50">
        <f t="shared" si="136"/>
        <v>360.79999999999967</v>
      </c>
      <c r="BJ229" s="50">
        <f t="shared" si="136"/>
        <v>360.99999999999966</v>
      </c>
      <c r="BK229" s="50">
        <f t="shared" si="136"/>
        <v>361.19999999999965</v>
      </c>
      <c r="BL229" s="50">
        <f t="shared" si="136"/>
        <v>361.39999999999964</v>
      </c>
      <c r="BM229" s="50">
        <f t="shared" si="136"/>
        <v>361.59999999999962</v>
      </c>
      <c r="BN229" s="50">
        <f t="shared" si="136"/>
        <v>361.79999999999961</v>
      </c>
      <c r="BO229" s="50">
        <f t="shared" si="136"/>
        <v>361.9999999999996</v>
      </c>
      <c r="BP229" s="50">
        <f t="shared" si="136"/>
        <v>362.19999999999959</v>
      </c>
      <c r="BQ229" s="50">
        <f t="shared" si="136"/>
        <v>362.39999999999958</v>
      </c>
      <c r="BR229" s="50">
        <f t="shared" si="136"/>
        <v>362.59999999999957</v>
      </c>
      <c r="BS229" s="50">
        <f t="shared" si="136"/>
        <v>362.79999999999956</v>
      </c>
      <c r="BT229" s="50">
        <f t="shared" si="136"/>
        <v>362.99999999999955</v>
      </c>
      <c r="BU229" s="50">
        <f t="shared" si="136"/>
        <v>363.19999999999953</v>
      </c>
      <c r="BV229" s="50">
        <f t="shared" si="136"/>
        <v>363.39999999999952</v>
      </c>
      <c r="BW229" s="50">
        <f t="shared" si="136"/>
        <v>363.59999999999951</v>
      </c>
      <c r="BX229" s="50">
        <f t="shared" si="136"/>
        <v>363.7999999999995</v>
      </c>
      <c r="BY229" s="50">
        <f t="shared" si="136"/>
        <v>363.99999999999949</v>
      </c>
      <c r="BZ229" s="50">
        <f t="shared" si="136"/>
        <v>364.19999999999948</v>
      </c>
      <c r="CA229" s="50">
        <f t="shared" si="136"/>
        <v>364.39999999999947</v>
      </c>
      <c r="CB229" s="50">
        <f t="shared" si="136"/>
        <v>364.59999999999945</v>
      </c>
      <c r="CC229" s="50">
        <f t="shared" si="136"/>
        <v>364.79999999999944</v>
      </c>
      <c r="CD229" s="50">
        <f t="shared" si="136"/>
        <v>364.99999999999943</v>
      </c>
      <c r="CE229" s="50">
        <f t="shared" si="136"/>
        <v>365.19999999999942</v>
      </c>
      <c r="CF229" s="50">
        <f t="shared" si="136"/>
        <v>365.39999999999941</v>
      </c>
      <c r="CG229" s="50">
        <f t="shared" si="136"/>
        <v>365.5999999999994</v>
      </c>
      <c r="CH229" s="50">
        <f t="shared" si="136"/>
        <v>365.79999999999939</v>
      </c>
      <c r="CI229" s="50">
        <f t="shared" si="136"/>
        <v>365.99999999999937</v>
      </c>
      <c r="CJ229" s="50">
        <f t="shared" si="136"/>
        <v>366.19999999999936</v>
      </c>
      <c r="CK229" s="50">
        <f t="shared" si="136"/>
        <v>366.39999999999935</v>
      </c>
      <c r="CL229" s="50">
        <f t="shared" si="136"/>
        <v>366.59999999999934</v>
      </c>
      <c r="CM229" s="50">
        <f t="shared" si="136"/>
        <v>366.79999999999933</v>
      </c>
    </row>
    <row r="230" spans="1:91" ht="15" customHeight="1" thickBot="1">
      <c r="A230" s="46"/>
      <c r="B230" s="42">
        <f t="shared" si="132"/>
        <v>370</v>
      </c>
      <c r="C230" s="577"/>
      <c r="D230" s="574" t="str">
        <f t="shared" si="133"/>
        <v/>
      </c>
      <c r="E230" s="42">
        <f t="shared" si="134"/>
        <v>365.5</v>
      </c>
      <c r="F230" s="655"/>
      <c r="G230" s="36" t="str">
        <f t="shared" si="135"/>
        <v/>
      </c>
      <c r="U230" s="114">
        <v>366.8</v>
      </c>
      <c r="V230" s="116">
        <v>0.13619999999999999</v>
      </c>
      <c r="W230" s="115">
        <v>360.9</v>
      </c>
      <c r="X230" s="116">
        <v>1.0799000000000001</v>
      </c>
      <c r="Y230" s="107">
        <f>(V230 + X230)/2</f>
        <v>0.60804999999999998</v>
      </c>
      <c r="AA230" s="50">
        <v>657.5</v>
      </c>
      <c r="AB230" s="51">
        <v>81.524000000000001</v>
      </c>
      <c r="AC230" s="52">
        <f t="shared" si="68"/>
        <v>8.8714519687236856E-2</v>
      </c>
      <c r="AD230" s="746"/>
      <c r="AE230" s="52">
        <f>$Y230</f>
        <v>0.60804999999999998</v>
      </c>
      <c r="AF230" s="52">
        <f t="shared" ref="AF230:CM230" si="137">AE230</f>
        <v>0.60804999999999998</v>
      </c>
      <c r="AG230" s="52">
        <f t="shared" si="137"/>
        <v>0.60804999999999998</v>
      </c>
      <c r="AH230" s="52">
        <f t="shared" si="137"/>
        <v>0.60804999999999998</v>
      </c>
      <c r="AI230" s="52">
        <f t="shared" si="137"/>
        <v>0.60804999999999998</v>
      </c>
      <c r="AJ230" s="52">
        <f t="shared" si="137"/>
        <v>0.60804999999999998</v>
      </c>
      <c r="AK230" s="52">
        <f t="shared" si="137"/>
        <v>0.60804999999999998</v>
      </c>
      <c r="AL230" s="52">
        <f t="shared" si="137"/>
        <v>0.60804999999999998</v>
      </c>
      <c r="AM230" s="52">
        <f t="shared" si="137"/>
        <v>0.60804999999999998</v>
      </c>
      <c r="AN230" s="52">
        <f t="shared" si="137"/>
        <v>0.60804999999999998</v>
      </c>
      <c r="AO230" s="52">
        <f t="shared" si="137"/>
        <v>0.60804999999999998</v>
      </c>
      <c r="AP230" s="52">
        <f t="shared" si="137"/>
        <v>0.60804999999999998</v>
      </c>
      <c r="AQ230" s="52">
        <f t="shared" si="137"/>
        <v>0.60804999999999998</v>
      </c>
      <c r="AR230" s="52">
        <f t="shared" si="137"/>
        <v>0.60804999999999998</v>
      </c>
      <c r="AS230" s="52">
        <f t="shared" si="137"/>
        <v>0.60804999999999998</v>
      </c>
      <c r="AT230" s="52">
        <f t="shared" si="137"/>
        <v>0.60804999999999998</v>
      </c>
      <c r="AU230" s="52">
        <f t="shared" si="137"/>
        <v>0.60804999999999998</v>
      </c>
      <c r="AV230" s="52">
        <f t="shared" si="137"/>
        <v>0.60804999999999998</v>
      </c>
      <c r="AW230" s="52">
        <f t="shared" si="137"/>
        <v>0.60804999999999998</v>
      </c>
      <c r="AX230" s="52">
        <f t="shared" si="137"/>
        <v>0.60804999999999998</v>
      </c>
      <c r="AY230" s="52">
        <f t="shared" si="137"/>
        <v>0.60804999999999998</v>
      </c>
      <c r="AZ230" s="52">
        <f t="shared" si="137"/>
        <v>0.60804999999999998</v>
      </c>
      <c r="BA230" s="52">
        <f t="shared" si="137"/>
        <v>0.60804999999999998</v>
      </c>
      <c r="BB230" s="52">
        <f t="shared" si="137"/>
        <v>0.60804999999999998</v>
      </c>
      <c r="BC230" s="52">
        <f t="shared" si="137"/>
        <v>0.60804999999999998</v>
      </c>
      <c r="BD230" s="52">
        <f t="shared" si="137"/>
        <v>0.60804999999999998</v>
      </c>
      <c r="BE230" s="52">
        <f t="shared" si="137"/>
        <v>0.60804999999999998</v>
      </c>
      <c r="BF230" s="52">
        <f t="shared" si="137"/>
        <v>0.60804999999999998</v>
      </c>
      <c r="BG230" s="52">
        <f t="shared" si="137"/>
        <v>0.60804999999999998</v>
      </c>
      <c r="BH230" s="52">
        <f t="shared" si="137"/>
        <v>0.60804999999999998</v>
      </c>
      <c r="BI230" s="52">
        <f t="shared" si="137"/>
        <v>0.60804999999999998</v>
      </c>
      <c r="BJ230" s="52">
        <f t="shared" si="137"/>
        <v>0.60804999999999998</v>
      </c>
      <c r="BK230" s="52">
        <f t="shared" si="137"/>
        <v>0.60804999999999998</v>
      </c>
      <c r="BL230" s="52">
        <f t="shared" si="137"/>
        <v>0.60804999999999998</v>
      </c>
      <c r="BM230" s="52">
        <f t="shared" si="137"/>
        <v>0.60804999999999998</v>
      </c>
      <c r="BN230" s="52">
        <f t="shared" si="137"/>
        <v>0.60804999999999998</v>
      </c>
      <c r="BO230" s="52">
        <f t="shared" si="137"/>
        <v>0.60804999999999998</v>
      </c>
      <c r="BP230" s="52">
        <f t="shared" si="137"/>
        <v>0.60804999999999998</v>
      </c>
      <c r="BQ230" s="52">
        <f t="shared" si="137"/>
        <v>0.60804999999999998</v>
      </c>
      <c r="BR230" s="52">
        <f t="shared" si="137"/>
        <v>0.60804999999999998</v>
      </c>
      <c r="BS230" s="52">
        <f t="shared" si="137"/>
        <v>0.60804999999999998</v>
      </c>
      <c r="BT230" s="52">
        <f t="shared" si="137"/>
        <v>0.60804999999999998</v>
      </c>
      <c r="BU230" s="52">
        <f t="shared" si="137"/>
        <v>0.60804999999999998</v>
      </c>
      <c r="BV230" s="52">
        <f t="shared" si="137"/>
        <v>0.60804999999999998</v>
      </c>
      <c r="BW230" s="52">
        <f t="shared" si="137"/>
        <v>0.60804999999999998</v>
      </c>
      <c r="BX230" s="52">
        <f t="shared" si="137"/>
        <v>0.60804999999999998</v>
      </c>
      <c r="BY230" s="52">
        <f t="shared" si="137"/>
        <v>0.60804999999999998</v>
      </c>
      <c r="BZ230" s="52">
        <f t="shared" si="137"/>
        <v>0.60804999999999998</v>
      </c>
      <c r="CA230" s="52">
        <f t="shared" si="137"/>
        <v>0.60804999999999998</v>
      </c>
      <c r="CB230" s="52">
        <f t="shared" si="137"/>
        <v>0.60804999999999998</v>
      </c>
      <c r="CC230" s="52">
        <f t="shared" si="137"/>
        <v>0.60804999999999998</v>
      </c>
      <c r="CD230" s="52">
        <f t="shared" si="137"/>
        <v>0.60804999999999998</v>
      </c>
      <c r="CE230" s="52">
        <f t="shared" si="137"/>
        <v>0.60804999999999998</v>
      </c>
      <c r="CF230" s="52">
        <f t="shared" si="137"/>
        <v>0.60804999999999998</v>
      </c>
      <c r="CG230" s="52">
        <f t="shared" si="137"/>
        <v>0.60804999999999998</v>
      </c>
      <c r="CH230" s="52">
        <f t="shared" si="137"/>
        <v>0.60804999999999998</v>
      </c>
      <c r="CI230" s="52">
        <f t="shared" si="137"/>
        <v>0.60804999999999998</v>
      </c>
      <c r="CJ230" s="52">
        <f t="shared" si="137"/>
        <v>0.60804999999999998</v>
      </c>
      <c r="CK230" s="52">
        <f t="shared" si="137"/>
        <v>0.60804999999999998</v>
      </c>
      <c r="CL230" s="52">
        <f t="shared" si="137"/>
        <v>0.60804999999999998</v>
      </c>
      <c r="CM230" s="52">
        <f t="shared" si="137"/>
        <v>0.60804999999999998</v>
      </c>
    </row>
    <row r="231" spans="1:91" ht="15" customHeight="1">
      <c r="A231" s="46"/>
      <c r="B231" s="42">
        <f t="shared" si="132"/>
        <v>369</v>
      </c>
      <c r="C231" s="577"/>
      <c r="D231" s="574" t="str">
        <f t="shared" si="133"/>
        <v/>
      </c>
      <c r="E231" s="42">
        <f t="shared" si="134"/>
        <v>365</v>
      </c>
      <c r="F231" s="655"/>
      <c r="G231" s="36" t="str">
        <f t="shared" si="135"/>
        <v/>
      </c>
      <c r="AA231" s="50">
        <v>657.4</v>
      </c>
      <c r="AB231" s="51">
        <v>81.581999999999994</v>
      </c>
      <c r="AC231" s="52">
        <f t="shared" si="68"/>
        <v>8.8405652067258395E-2</v>
      </c>
    </row>
    <row r="232" spans="1:91" ht="15" customHeight="1" thickBot="1">
      <c r="A232" s="46"/>
      <c r="B232" s="42">
        <f t="shared" si="132"/>
        <v>368</v>
      </c>
      <c r="C232" s="577"/>
      <c r="D232" s="574" t="str">
        <f t="shared" si="133"/>
        <v/>
      </c>
      <c r="E232" s="42">
        <f t="shared" si="134"/>
        <v>364.5</v>
      </c>
      <c r="F232" s="655"/>
      <c r="G232" s="36" t="str">
        <f t="shared" si="135"/>
        <v/>
      </c>
      <c r="AA232" s="50">
        <v>657.3</v>
      </c>
      <c r="AB232" s="51">
        <v>81.616</v>
      </c>
      <c r="AC232" s="52">
        <f t="shared" si="68"/>
        <v>8.8224693812888305E-2</v>
      </c>
    </row>
    <row r="233" spans="1:91" ht="15" customHeight="1">
      <c r="A233" s="590" t="s">
        <v>352</v>
      </c>
      <c r="B233" s="42">
        <f t="shared" si="132"/>
        <v>367</v>
      </c>
      <c r="C233" s="577">
        <v>0.152</v>
      </c>
      <c r="D233" s="574" t="str">
        <f t="shared" si="133"/>
        <v/>
      </c>
      <c r="E233" s="42">
        <f t="shared" si="134"/>
        <v>364</v>
      </c>
      <c r="F233" s="655">
        <v>0.16200000000000001</v>
      </c>
      <c r="G233" s="36" t="str">
        <f t="shared" si="135"/>
        <v/>
      </c>
      <c r="U233" s="95" t="s">
        <v>87</v>
      </c>
      <c r="V233" s="96">
        <f>X234 - X233</f>
        <v>2</v>
      </c>
      <c r="W233" s="97" t="s">
        <v>92</v>
      </c>
      <c r="X233" s="117">
        <v>360</v>
      </c>
      <c r="Y233" s="98" t="s">
        <v>53</v>
      </c>
      <c r="AA233" s="50">
        <v>657.2</v>
      </c>
      <c r="AB233" s="51">
        <v>81.614999999999995</v>
      </c>
      <c r="AC233" s="52">
        <f t="shared" si="68"/>
        <v>8.8230015038414239E-2</v>
      </c>
    </row>
    <row r="234" spans="1:91" ht="15" customHeight="1" thickBot="1">
      <c r="A234" s="46"/>
      <c r="B234" s="42">
        <f t="shared" si="132"/>
        <v>366</v>
      </c>
      <c r="C234" s="577">
        <v>0.187</v>
      </c>
      <c r="D234" s="574" t="str">
        <f t="shared" si="133"/>
        <v/>
      </c>
      <c r="E234" s="42">
        <f t="shared" si="134"/>
        <v>363.5</v>
      </c>
      <c r="F234" s="655">
        <v>0.20200000000000001</v>
      </c>
      <c r="G234" s="36" t="str">
        <f t="shared" si="135"/>
        <v/>
      </c>
      <c r="U234" s="99" t="s">
        <v>93</v>
      </c>
      <c r="V234" s="100">
        <f>X230 - Y230</f>
        <v>0.4718500000000001</v>
      </c>
      <c r="W234" s="101" t="s">
        <v>94</v>
      </c>
      <c r="X234" s="118">
        <v>362</v>
      </c>
      <c r="Y234" s="102" t="s">
        <v>53</v>
      </c>
      <c r="AA234" s="50">
        <v>657.1</v>
      </c>
      <c r="AB234" s="51">
        <v>81.656999999999996</v>
      </c>
      <c r="AC234" s="52">
        <f t="shared" si="68"/>
        <v>8.8006579683395925E-2</v>
      </c>
    </row>
    <row r="235" spans="1:91" ht="15" customHeight="1">
      <c r="A235" s="46"/>
      <c r="B235" s="42">
        <f t="shared" si="132"/>
        <v>365</v>
      </c>
      <c r="C235" s="577">
        <v>0.23799999999999999</v>
      </c>
      <c r="D235" s="574" t="str">
        <f t="shared" si="133"/>
        <v/>
      </c>
      <c r="E235" s="42">
        <f t="shared" si="134"/>
        <v>363</v>
      </c>
      <c r="F235" s="655">
        <v>0.25700000000000001</v>
      </c>
      <c r="G235" s="36" t="str">
        <f t="shared" si="135"/>
        <v/>
      </c>
      <c r="AA235" s="50">
        <v>657</v>
      </c>
      <c r="AB235" s="51">
        <v>81.736999999999995</v>
      </c>
      <c r="AC235" s="52">
        <f t="shared" si="68"/>
        <v>8.7581306278882651E-2</v>
      </c>
    </row>
    <row r="236" spans="1:91" ht="15" customHeight="1">
      <c r="A236" s="46"/>
      <c r="B236" s="42">
        <f t="shared" si="132"/>
        <v>364</v>
      </c>
      <c r="C236" s="577">
        <v>0.31900000000000001</v>
      </c>
      <c r="D236" s="574" t="str">
        <f t="shared" si="133"/>
        <v/>
      </c>
      <c r="E236" s="42">
        <f t="shared" si="134"/>
        <v>362.5</v>
      </c>
      <c r="F236" s="655">
        <v>0.34</v>
      </c>
      <c r="G236" s="36" t="str">
        <f t="shared" si="135"/>
        <v/>
      </c>
      <c r="AA236" s="50">
        <v>656.9</v>
      </c>
      <c r="AB236" s="51">
        <v>81.772000000000006</v>
      </c>
      <c r="AC236" s="52">
        <f t="shared" si="68"/>
        <v>8.7395380035082307E-2</v>
      </c>
    </row>
    <row r="237" spans="1:91" ht="15" customHeight="1">
      <c r="A237" s="65"/>
      <c r="B237" s="42">
        <f t="shared" si="132"/>
        <v>363</v>
      </c>
      <c r="C237" s="577">
        <v>0.38300000000000001</v>
      </c>
      <c r="D237" s="574" t="str">
        <f t="shared" si="133"/>
        <v/>
      </c>
      <c r="E237" s="42">
        <f t="shared" si="134"/>
        <v>362</v>
      </c>
      <c r="F237" s="655">
        <v>0.39800000000000002</v>
      </c>
      <c r="G237" s="36" t="str">
        <f t="shared" si="135"/>
        <v/>
      </c>
      <c r="AA237" s="50">
        <v>656.8</v>
      </c>
      <c r="AB237" s="51">
        <v>81.819000000000003</v>
      </c>
      <c r="AC237" s="52">
        <f t="shared" si="68"/>
        <v>8.7145832795795727E-2</v>
      </c>
    </row>
    <row r="238" spans="1:91" ht="15" customHeight="1">
      <c r="A238" s="59" t="s">
        <v>344</v>
      </c>
      <c r="B238" s="42">
        <f>IF(ISNUMBER($G$45),B239+$G$45,"")</f>
        <v>362</v>
      </c>
      <c r="C238" s="577">
        <v>0.41699999999999998</v>
      </c>
      <c r="D238" s="574">
        <f t="shared" si="133"/>
        <v>0.41699999999999998</v>
      </c>
      <c r="E238" s="42">
        <f>IF(ISNUMBER($G$45),E239+$K$45,"")</f>
        <v>361.5</v>
      </c>
      <c r="F238" s="655">
        <v>0.41799999999999998</v>
      </c>
      <c r="G238" s="36">
        <f t="shared" si="135"/>
        <v>0.41799999999999998</v>
      </c>
      <c r="AA238" s="50">
        <v>656.7</v>
      </c>
      <c r="AB238" s="51">
        <v>81.813999999999993</v>
      </c>
      <c r="AC238" s="52">
        <f t="shared" si="68"/>
        <v>8.7172373559702657E-2</v>
      </c>
    </row>
    <row r="239" spans="1:91" ht="15" customHeight="1">
      <c r="A239" s="45">
        <v>360.84</v>
      </c>
      <c r="B239" s="121">
        <v>361</v>
      </c>
      <c r="C239" s="577">
        <v>0.39300000000000002</v>
      </c>
      <c r="D239" s="574" t="str">
        <f>IF(C239&lt;&gt;"",IF(C239 = LARGE($C$227:$C$251,1), C239, ""), "")</f>
        <v/>
      </c>
      <c r="E239" s="121">
        <v>361</v>
      </c>
      <c r="F239" s="655">
        <v>0.375</v>
      </c>
      <c r="G239" s="36" t="str">
        <f t="shared" si="135"/>
        <v/>
      </c>
      <c r="AA239" s="50">
        <v>656.6</v>
      </c>
      <c r="AB239" s="51">
        <v>81.813000000000002</v>
      </c>
      <c r="AC239" s="52">
        <f t="shared" si="68"/>
        <v>8.7177681907125854E-2</v>
      </c>
    </row>
    <row r="240" spans="1:91" ht="15" customHeight="1">
      <c r="A240" s="65"/>
      <c r="B240" s="42">
        <f>IF(ISNUMBER($G$45),B239-$G$45,"")</f>
        <v>360</v>
      </c>
      <c r="C240" s="577">
        <v>0.32100000000000001</v>
      </c>
      <c r="D240" s="574" t="str">
        <f t="shared" ref="D240:D251" si="138">IF(C240&lt;&gt;"",IF(C240 = LARGE($C$227:$C$251,1), C240, ""), "")</f>
        <v/>
      </c>
      <c r="E240" s="42">
        <f>IF(ISNUMBER($G$45),E239-$K$45,"")</f>
        <v>360.5</v>
      </c>
      <c r="F240" s="655">
        <v>0.29499999999999998</v>
      </c>
      <c r="G240" s="36" t="str">
        <f t="shared" si="135"/>
        <v/>
      </c>
      <c r="AA240" s="50">
        <v>656.5</v>
      </c>
      <c r="AB240" s="51">
        <v>81.802999999999997</v>
      </c>
      <c r="AC240" s="52">
        <f t="shared" si="68"/>
        <v>8.7230768950256651E-2</v>
      </c>
    </row>
    <row r="241" spans="1:91" ht="15" customHeight="1">
      <c r="A241" s="65"/>
      <c r="B241" s="42">
        <f t="shared" ref="B241:B251" si="139">IF(ISNUMBER($G$45),B240-$G$45,"")</f>
        <v>359</v>
      </c>
      <c r="C241" s="577">
        <v>0.23400000000000001</v>
      </c>
      <c r="D241" s="574" t="str">
        <f t="shared" si="138"/>
        <v/>
      </c>
      <c r="E241" s="42">
        <f t="shared" ref="E241:E251" si="140">IF(ISNUMBER($G$45),E240-$K$45,"")</f>
        <v>360</v>
      </c>
      <c r="F241" s="655">
        <v>0.21</v>
      </c>
      <c r="G241" s="36" t="str">
        <f t="shared" si="135"/>
        <v/>
      </c>
      <c r="AA241" s="50">
        <v>656.4</v>
      </c>
      <c r="AB241" s="51">
        <v>81.831000000000003</v>
      </c>
      <c r="AC241" s="52">
        <f t="shared" si="68"/>
        <v>8.7082141579270467E-2</v>
      </c>
    </row>
    <row r="242" spans="1:91" ht="15" customHeight="1">
      <c r="A242" s="65"/>
      <c r="B242" s="42">
        <f t="shared" si="139"/>
        <v>358</v>
      </c>
      <c r="C242" s="577">
        <v>0.16300000000000001</v>
      </c>
      <c r="D242" s="574" t="str">
        <f t="shared" si="138"/>
        <v/>
      </c>
      <c r="E242" s="42">
        <f t="shared" si="140"/>
        <v>359.5</v>
      </c>
      <c r="F242" s="655">
        <v>0.14599999999999999</v>
      </c>
      <c r="G242" s="36" t="str">
        <f t="shared" si="135"/>
        <v/>
      </c>
      <c r="AA242" s="50">
        <v>656.3</v>
      </c>
      <c r="AB242" s="51">
        <v>81.766999999999996</v>
      </c>
      <c r="AC242" s="52">
        <f t="shared" si="68"/>
        <v>8.7421936054260518E-2</v>
      </c>
    </row>
    <row r="243" spans="1:91" ht="15" customHeight="1">
      <c r="A243" s="65"/>
      <c r="B243" s="42">
        <f t="shared" si="139"/>
        <v>357</v>
      </c>
      <c r="C243" s="577">
        <v>0.114</v>
      </c>
      <c r="D243" s="574" t="str">
        <f t="shared" si="138"/>
        <v/>
      </c>
      <c r="E243" s="42">
        <f t="shared" si="140"/>
        <v>359</v>
      </c>
      <c r="F243" s="655">
        <v>0.107</v>
      </c>
      <c r="G243" s="36" t="str">
        <f t="shared" si="135"/>
        <v/>
      </c>
      <c r="AA243" s="50">
        <v>656.2</v>
      </c>
      <c r="AB243" s="51">
        <v>81.736999999999995</v>
      </c>
      <c r="AC243" s="52">
        <f t="shared" si="68"/>
        <v>8.7581306278882651E-2</v>
      </c>
    </row>
    <row r="244" spans="1:91" ht="15" customHeight="1">
      <c r="A244" s="65"/>
      <c r="B244" s="42">
        <f t="shared" si="139"/>
        <v>356</v>
      </c>
      <c r="C244" s="577">
        <v>9.5000000000000001E-2</v>
      </c>
      <c r="D244" s="574" t="str">
        <f t="shared" si="138"/>
        <v/>
      </c>
      <c r="E244" s="42">
        <f t="shared" si="140"/>
        <v>358.5</v>
      </c>
      <c r="F244" s="655">
        <v>9.0999999999999998E-2</v>
      </c>
      <c r="G244" s="36" t="str">
        <f t="shared" si="135"/>
        <v/>
      </c>
      <c r="AA244" s="50">
        <v>656.1</v>
      </c>
      <c r="AB244" s="51">
        <v>81.677999999999997</v>
      </c>
      <c r="AC244" s="52">
        <f t="shared" si="68"/>
        <v>8.7894905098399215E-2</v>
      </c>
    </row>
    <row r="245" spans="1:91" ht="15" customHeight="1">
      <c r="A245" s="590" t="s">
        <v>351</v>
      </c>
      <c r="B245" s="42">
        <f t="shared" si="139"/>
        <v>355</v>
      </c>
      <c r="C245" s="577">
        <v>8.5000000000000006E-2</v>
      </c>
      <c r="D245" s="574" t="str">
        <f t="shared" si="138"/>
        <v/>
      </c>
      <c r="E245" s="42">
        <f t="shared" si="140"/>
        <v>358</v>
      </c>
      <c r="F245" s="655">
        <v>8.3000000000000004E-2</v>
      </c>
      <c r="G245" s="36" t="str">
        <f t="shared" si="135"/>
        <v/>
      </c>
      <c r="AA245" s="50">
        <v>656</v>
      </c>
      <c r="AB245" s="51">
        <v>81.656000000000006</v>
      </c>
      <c r="AC245" s="52">
        <f t="shared" si="68"/>
        <v>8.8011898237116776E-2</v>
      </c>
    </row>
    <row r="246" spans="1:91" ht="15" customHeight="1">
      <c r="A246" s="65"/>
      <c r="B246" s="42">
        <f t="shared" si="139"/>
        <v>354</v>
      </c>
      <c r="C246" s="577"/>
      <c r="D246" s="574" t="str">
        <f t="shared" si="138"/>
        <v/>
      </c>
      <c r="E246" s="42">
        <f t="shared" si="140"/>
        <v>357.5</v>
      </c>
      <c r="F246" s="655">
        <v>0.08</v>
      </c>
      <c r="G246" s="36" t="str">
        <f t="shared" si="135"/>
        <v/>
      </c>
      <c r="AA246" s="50">
        <v>655.9</v>
      </c>
      <c r="AB246" s="51">
        <v>81.635000000000005</v>
      </c>
      <c r="AC246" s="52">
        <f t="shared" si="68"/>
        <v>8.8123602913678864E-2</v>
      </c>
    </row>
    <row r="247" spans="1:91" ht="15" customHeight="1">
      <c r="A247" s="65"/>
      <c r="B247" s="42">
        <f t="shared" si="139"/>
        <v>353</v>
      </c>
      <c r="C247" s="577"/>
      <c r="D247" s="574" t="str">
        <f t="shared" si="138"/>
        <v/>
      </c>
      <c r="E247" s="42">
        <f t="shared" si="140"/>
        <v>357</v>
      </c>
      <c r="F247" s="655">
        <v>7.9000000000000001E-2</v>
      </c>
      <c r="G247" s="36" t="str">
        <f t="shared" si="135"/>
        <v/>
      </c>
      <c r="AA247" s="50">
        <v>655.8</v>
      </c>
      <c r="AB247" s="51">
        <v>81.606999999999999</v>
      </c>
      <c r="AC247" s="52">
        <f t="shared" si="68"/>
        <v>8.8272587189938009E-2</v>
      </c>
    </row>
    <row r="248" spans="1:91" ht="15" customHeight="1">
      <c r="A248" s="65"/>
      <c r="B248" s="42">
        <f t="shared" si="139"/>
        <v>352</v>
      </c>
      <c r="C248" s="577"/>
      <c r="D248" s="574" t="str">
        <f t="shared" si="138"/>
        <v/>
      </c>
      <c r="E248" s="42">
        <f t="shared" si="140"/>
        <v>356.5</v>
      </c>
      <c r="F248" s="655">
        <v>8.1000000000000003E-2</v>
      </c>
      <c r="G248" s="36" t="str">
        <f t="shared" si="135"/>
        <v/>
      </c>
      <c r="AA248" s="50">
        <v>655.7</v>
      </c>
      <c r="AB248" s="51">
        <v>81.587000000000003</v>
      </c>
      <c r="AC248" s="52">
        <f t="shared" si="68"/>
        <v>8.8379035829980537E-2</v>
      </c>
    </row>
    <row r="249" spans="1:91" ht="15" customHeight="1">
      <c r="A249" s="65"/>
      <c r="B249" s="42">
        <f t="shared" si="139"/>
        <v>351</v>
      </c>
      <c r="C249" s="577"/>
      <c r="D249" s="574" t="str">
        <f t="shared" si="138"/>
        <v/>
      </c>
      <c r="E249" s="42">
        <f t="shared" si="140"/>
        <v>356</v>
      </c>
      <c r="F249" s="655"/>
      <c r="G249" s="36" t="str">
        <f t="shared" si="135"/>
        <v/>
      </c>
      <c r="AA249" s="50">
        <v>655.6</v>
      </c>
      <c r="AB249" s="51">
        <v>81.528000000000006</v>
      </c>
      <c r="AC249" s="52">
        <f t="shared" si="68"/>
        <v>8.8693211418366016E-2</v>
      </c>
    </row>
    <row r="250" spans="1:91" ht="15" customHeight="1">
      <c r="A250" s="65"/>
      <c r="B250" s="42">
        <f t="shared" si="139"/>
        <v>350</v>
      </c>
      <c r="C250" s="577"/>
      <c r="D250" s="574" t="str">
        <f t="shared" si="138"/>
        <v/>
      </c>
      <c r="E250" s="42">
        <f t="shared" si="140"/>
        <v>355.5</v>
      </c>
      <c r="F250" s="655"/>
      <c r="G250" s="36" t="str">
        <f t="shared" si="135"/>
        <v/>
      </c>
      <c r="AA250" s="50">
        <v>655.5</v>
      </c>
      <c r="AB250" s="51">
        <v>81.498999999999995</v>
      </c>
      <c r="AC250" s="52">
        <f t="shared" si="68"/>
        <v>8.8847720059364602E-2</v>
      </c>
    </row>
    <row r="251" spans="1:91" ht="15" customHeight="1" thickBot="1">
      <c r="A251" s="43"/>
      <c r="B251" s="47">
        <f t="shared" si="139"/>
        <v>349</v>
      </c>
      <c r="C251" s="578"/>
      <c r="D251" s="575" t="str">
        <f t="shared" si="138"/>
        <v/>
      </c>
      <c r="E251" s="47">
        <f t="shared" si="140"/>
        <v>355</v>
      </c>
      <c r="F251" s="661"/>
      <c r="G251" s="571" t="str">
        <f t="shared" si="135"/>
        <v/>
      </c>
      <c r="AA251" s="50">
        <v>655.4</v>
      </c>
      <c r="AB251" s="51">
        <v>81.430999999999997</v>
      </c>
      <c r="AC251" s="52">
        <f t="shared" si="68"/>
        <v>8.9210231892472319E-2</v>
      </c>
    </row>
    <row r="252" spans="1:91" ht="15.75" thickTop="1">
      <c r="A252" s="65"/>
      <c r="B252" s="42">
        <f t="shared" ref="B252:B262" si="141">IF(ISNUMBER($G$45),B253+$G$45,"")</f>
        <v>346</v>
      </c>
      <c r="C252" s="567"/>
      <c r="D252" s="574" t="str">
        <f t="shared" ref="D252:D263" si="142">IF(C252&lt;&gt;"",IF(C252 = LARGE($C$252:$C$276,1), C252, ""), "")</f>
        <v/>
      </c>
      <c r="E252" s="42">
        <f t="shared" ref="E252:E262" si="143">IF(ISNUMBER($G$45),E253+$K$45,"")</f>
        <v>340</v>
      </c>
      <c r="F252" s="660"/>
      <c r="G252" s="36" t="str">
        <f t="shared" ref="G252:G276" si="144">IF(F252 &lt;&gt;"", IF(F252 = LARGE($F$252:$F$276,1), F252, ""), "")</f>
        <v/>
      </c>
      <c r="AA252" s="50">
        <v>655.29999999999995</v>
      </c>
      <c r="AB252" s="51">
        <v>81.322000000000003</v>
      </c>
      <c r="AC252" s="52">
        <f t="shared" si="68"/>
        <v>8.9791949041833977E-2</v>
      </c>
    </row>
    <row r="253" spans="1:91" ht="15.75" thickBot="1">
      <c r="A253" s="65"/>
      <c r="B253" s="42">
        <f t="shared" si="141"/>
        <v>345</v>
      </c>
      <c r="C253" s="568"/>
      <c r="D253" s="574" t="str">
        <f t="shared" si="142"/>
        <v/>
      </c>
      <c r="E253" s="42">
        <f t="shared" si="143"/>
        <v>339.5</v>
      </c>
      <c r="F253" s="655"/>
      <c r="G253" s="36" t="str">
        <f t="shared" si="144"/>
        <v/>
      </c>
      <c r="U253" s="589" t="s">
        <v>345</v>
      </c>
      <c r="AA253" s="50">
        <v>655.20000000000005</v>
      </c>
      <c r="AB253" s="51">
        <v>81.233999999999995</v>
      </c>
      <c r="AC253" s="52">
        <f t="shared" si="68"/>
        <v>9.026216137654812E-2</v>
      </c>
    </row>
    <row r="254" spans="1:91">
      <c r="A254" s="65"/>
      <c r="B254" s="42">
        <f t="shared" si="141"/>
        <v>344</v>
      </c>
      <c r="C254" s="568"/>
      <c r="D254" s="574" t="str">
        <f t="shared" si="142"/>
        <v/>
      </c>
      <c r="E254" s="42">
        <f t="shared" si="143"/>
        <v>339</v>
      </c>
      <c r="F254" s="655"/>
      <c r="G254" s="36" t="str">
        <f t="shared" si="144"/>
        <v/>
      </c>
      <c r="U254" s="103" t="s">
        <v>88</v>
      </c>
      <c r="V254" s="104" t="s">
        <v>89</v>
      </c>
      <c r="W254" s="105" t="s">
        <v>90</v>
      </c>
      <c r="X254" s="104" t="s">
        <v>91</v>
      </c>
      <c r="Y254" s="106" t="s">
        <v>96</v>
      </c>
      <c r="AA254" s="50">
        <v>655.1</v>
      </c>
      <c r="AB254" s="51">
        <v>81.153999999999996</v>
      </c>
      <c r="AC254" s="52">
        <f t="shared" si="68"/>
        <v>9.0690069366831022E-2</v>
      </c>
      <c r="AD254" s="746" t="s">
        <v>95</v>
      </c>
      <c r="AE254" s="50">
        <v>327.8</v>
      </c>
      <c r="AF254" s="50">
        <f t="shared" ref="AF254:CM254" si="145">AE254+0.2</f>
        <v>328</v>
      </c>
      <c r="AG254" s="50">
        <f t="shared" si="145"/>
        <v>328.2</v>
      </c>
      <c r="AH254" s="50">
        <f t="shared" si="145"/>
        <v>328.4</v>
      </c>
      <c r="AI254" s="50">
        <f t="shared" si="145"/>
        <v>328.59999999999997</v>
      </c>
      <c r="AJ254" s="50">
        <f t="shared" si="145"/>
        <v>328.79999999999995</v>
      </c>
      <c r="AK254" s="50">
        <f t="shared" si="145"/>
        <v>328.99999999999994</v>
      </c>
      <c r="AL254" s="50">
        <f t="shared" si="145"/>
        <v>329.19999999999993</v>
      </c>
      <c r="AM254" s="50">
        <f t="shared" si="145"/>
        <v>329.39999999999992</v>
      </c>
      <c r="AN254" s="50">
        <f t="shared" si="145"/>
        <v>329.59999999999991</v>
      </c>
      <c r="AO254" s="50">
        <f t="shared" si="145"/>
        <v>329.7999999999999</v>
      </c>
      <c r="AP254" s="50">
        <f t="shared" si="145"/>
        <v>329.99999999999989</v>
      </c>
      <c r="AQ254" s="50">
        <f t="shared" si="145"/>
        <v>330.19999999999987</v>
      </c>
      <c r="AR254" s="50">
        <f t="shared" si="145"/>
        <v>330.39999999999986</v>
      </c>
      <c r="AS254" s="50">
        <f t="shared" si="145"/>
        <v>330.59999999999985</v>
      </c>
      <c r="AT254" s="50">
        <f t="shared" si="145"/>
        <v>330.79999999999984</v>
      </c>
      <c r="AU254" s="50">
        <f t="shared" si="145"/>
        <v>330.99999999999983</v>
      </c>
      <c r="AV254" s="50">
        <f t="shared" si="145"/>
        <v>331.19999999999982</v>
      </c>
      <c r="AW254" s="50">
        <f t="shared" si="145"/>
        <v>331.39999999999981</v>
      </c>
      <c r="AX254" s="50">
        <f t="shared" si="145"/>
        <v>331.5999999999998</v>
      </c>
      <c r="AY254" s="50">
        <f t="shared" si="145"/>
        <v>331.79999999999978</v>
      </c>
      <c r="AZ254" s="50">
        <f t="shared" si="145"/>
        <v>331.99999999999977</v>
      </c>
      <c r="BA254" s="50">
        <f t="shared" si="145"/>
        <v>332.19999999999976</v>
      </c>
      <c r="BB254" s="50">
        <f t="shared" si="145"/>
        <v>332.39999999999975</v>
      </c>
      <c r="BC254" s="50">
        <f t="shared" si="145"/>
        <v>332.59999999999974</v>
      </c>
      <c r="BD254" s="50">
        <f t="shared" si="145"/>
        <v>332.79999999999973</v>
      </c>
      <c r="BE254" s="50">
        <f t="shared" si="145"/>
        <v>332.99999999999972</v>
      </c>
      <c r="BF254" s="50">
        <f t="shared" si="145"/>
        <v>333.1999999999997</v>
      </c>
      <c r="BG254" s="50">
        <f t="shared" si="145"/>
        <v>333.39999999999969</v>
      </c>
      <c r="BH254" s="50">
        <f t="shared" si="145"/>
        <v>333.59999999999968</v>
      </c>
      <c r="BI254" s="50">
        <f t="shared" si="145"/>
        <v>333.79999999999967</v>
      </c>
      <c r="BJ254" s="50">
        <f t="shared" si="145"/>
        <v>333.99999999999966</v>
      </c>
      <c r="BK254" s="50">
        <f t="shared" si="145"/>
        <v>334.19999999999965</v>
      </c>
      <c r="BL254" s="50">
        <f t="shared" si="145"/>
        <v>334.39999999999964</v>
      </c>
      <c r="BM254" s="50">
        <f t="shared" si="145"/>
        <v>334.59999999999962</v>
      </c>
      <c r="BN254" s="50">
        <f t="shared" si="145"/>
        <v>334.79999999999961</v>
      </c>
      <c r="BO254" s="50">
        <f t="shared" si="145"/>
        <v>334.9999999999996</v>
      </c>
      <c r="BP254" s="50">
        <f t="shared" si="145"/>
        <v>335.19999999999959</v>
      </c>
      <c r="BQ254" s="50">
        <f t="shared" si="145"/>
        <v>335.39999999999958</v>
      </c>
      <c r="BR254" s="50">
        <f t="shared" si="145"/>
        <v>335.59999999999957</v>
      </c>
      <c r="BS254" s="50">
        <f t="shared" si="145"/>
        <v>335.79999999999956</v>
      </c>
      <c r="BT254" s="50">
        <f t="shared" si="145"/>
        <v>335.99999999999955</v>
      </c>
      <c r="BU254" s="50">
        <f t="shared" si="145"/>
        <v>336.19999999999953</v>
      </c>
      <c r="BV254" s="50">
        <f t="shared" si="145"/>
        <v>336.39999999999952</v>
      </c>
      <c r="BW254" s="50">
        <f t="shared" si="145"/>
        <v>336.59999999999951</v>
      </c>
      <c r="BX254" s="50">
        <f t="shared" si="145"/>
        <v>336.7999999999995</v>
      </c>
      <c r="BY254" s="50">
        <f t="shared" si="145"/>
        <v>336.99999999999949</v>
      </c>
      <c r="BZ254" s="50">
        <f t="shared" si="145"/>
        <v>337.19999999999948</v>
      </c>
      <c r="CA254" s="50">
        <f t="shared" si="145"/>
        <v>337.39999999999947</v>
      </c>
      <c r="CB254" s="50">
        <f t="shared" si="145"/>
        <v>337.59999999999945</v>
      </c>
      <c r="CC254" s="50">
        <f t="shared" si="145"/>
        <v>337.79999999999944</v>
      </c>
      <c r="CD254" s="50">
        <f t="shared" si="145"/>
        <v>337.99999999999943</v>
      </c>
      <c r="CE254" s="50">
        <f t="shared" si="145"/>
        <v>338.19999999999942</v>
      </c>
      <c r="CF254" s="50">
        <f t="shared" si="145"/>
        <v>338.39999999999941</v>
      </c>
      <c r="CG254" s="50">
        <f t="shared" si="145"/>
        <v>338.5999999999994</v>
      </c>
      <c r="CH254" s="50">
        <f t="shared" si="145"/>
        <v>338.79999999999939</v>
      </c>
      <c r="CI254" s="50">
        <f t="shared" si="145"/>
        <v>338.99999999999937</v>
      </c>
      <c r="CJ254" s="50">
        <f t="shared" si="145"/>
        <v>339.19999999999936</v>
      </c>
      <c r="CK254" s="50">
        <f t="shared" si="145"/>
        <v>339.39999999999935</v>
      </c>
      <c r="CL254" s="50">
        <f t="shared" si="145"/>
        <v>339.59999999999934</v>
      </c>
      <c r="CM254" s="50">
        <f t="shared" si="145"/>
        <v>339.79999999999933</v>
      </c>
    </row>
    <row r="255" spans="1:91" ht="15.75" thickBot="1">
      <c r="A255" s="65"/>
      <c r="B255" s="42">
        <f t="shared" si="141"/>
        <v>343</v>
      </c>
      <c r="C255" s="572"/>
      <c r="D255" s="574" t="str">
        <f t="shared" si="142"/>
        <v/>
      </c>
      <c r="E255" s="42">
        <f t="shared" si="143"/>
        <v>338.5</v>
      </c>
      <c r="F255" s="655"/>
      <c r="G255" s="36" t="str">
        <f t="shared" si="144"/>
        <v/>
      </c>
      <c r="U255" s="114">
        <v>339</v>
      </c>
      <c r="V255" s="116">
        <v>8.3199999999999996E-2</v>
      </c>
      <c r="W255" s="115">
        <v>333.9</v>
      </c>
      <c r="X255" s="116">
        <v>0.1709</v>
      </c>
      <c r="Y255" s="107">
        <f>(V255 + X255)/2</f>
        <v>0.12705</v>
      </c>
      <c r="AA255" s="50">
        <v>655</v>
      </c>
      <c r="AB255" s="51">
        <v>81.022000000000006</v>
      </c>
      <c r="AC255" s="52">
        <f t="shared" si="68"/>
        <v>9.1397040611288741E-2</v>
      </c>
      <c r="AD255" s="746"/>
      <c r="AE255" s="52">
        <f>$Y255</f>
        <v>0.12705</v>
      </c>
      <c r="AF255" s="52">
        <f t="shared" ref="AF255:CM255" si="146">AE255</f>
        <v>0.12705</v>
      </c>
      <c r="AG255" s="52">
        <f t="shared" si="146"/>
        <v>0.12705</v>
      </c>
      <c r="AH255" s="52">
        <f t="shared" si="146"/>
        <v>0.12705</v>
      </c>
      <c r="AI255" s="52">
        <f t="shared" si="146"/>
        <v>0.12705</v>
      </c>
      <c r="AJ255" s="52">
        <f t="shared" si="146"/>
        <v>0.12705</v>
      </c>
      <c r="AK255" s="52">
        <f t="shared" si="146"/>
        <v>0.12705</v>
      </c>
      <c r="AL255" s="52">
        <f t="shared" si="146"/>
        <v>0.12705</v>
      </c>
      <c r="AM255" s="52">
        <f t="shared" si="146"/>
        <v>0.12705</v>
      </c>
      <c r="AN255" s="52">
        <f t="shared" si="146"/>
        <v>0.12705</v>
      </c>
      <c r="AO255" s="52">
        <f t="shared" si="146"/>
        <v>0.12705</v>
      </c>
      <c r="AP255" s="52">
        <f t="shared" si="146"/>
        <v>0.12705</v>
      </c>
      <c r="AQ255" s="52">
        <f t="shared" si="146"/>
        <v>0.12705</v>
      </c>
      <c r="AR255" s="52">
        <f t="shared" si="146"/>
        <v>0.12705</v>
      </c>
      <c r="AS255" s="52">
        <f t="shared" si="146"/>
        <v>0.12705</v>
      </c>
      <c r="AT255" s="52">
        <f t="shared" si="146"/>
        <v>0.12705</v>
      </c>
      <c r="AU255" s="52">
        <f t="shared" si="146"/>
        <v>0.12705</v>
      </c>
      <c r="AV255" s="52">
        <f t="shared" si="146"/>
        <v>0.12705</v>
      </c>
      <c r="AW255" s="52">
        <f t="shared" si="146"/>
        <v>0.12705</v>
      </c>
      <c r="AX255" s="52">
        <f t="shared" si="146"/>
        <v>0.12705</v>
      </c>
      <c r="AY255" s="52">
        <f t="shared" si="146"/>
        <v>0.12705</v>
      </c>
      <c r="AZ255" s="52">
        <f t="shared" si="146"/>
        <v>0.12705</v>
      </c>
      <c r="BA255" s="52">
        <f t="shared" si="146"/>
        <v>0.12705</v>
      </c>
      <c r="BB255" s="52">
        <f t="shared" si="146"/>
        <v>0.12705</v>
      </c>
      <c r="BC255" s="52">
        <f t="shared" si="146"/>
        <v>0.12705</v>
      </c>
      <c r="BD255" s="52">
        <f t="shared" si="146"/>
        <v>0.12705</v>
      </c>
      <c r="BE255" s="52">
        <f t="shared" si="146"/>
        <v>0.12705</v>
      </c>
      <c r="BF255" s="52">
        <f t="shared" si="146"/>
        <v>0.12705</v>
      </c>
      <c r="BG255" s="52">
        <f t="shared" si="146"/>
        <v>0.12705</v>
      </c>
      <c r="BH255" s="52">
        <f t="shared" si="146"/>
        <v>0.12705</v>
      </c>
      <c r="BI255" s="52">
        <f t="shared" si="146"/>
        <v>0.12705</v>
      </c>
      <c r="BJ255" s="52">
        <f t="shared" si="146"/>
        <v>0.12705</v>
      </c>
      <c r="BK255" s="52">
        <f t="shared" si="146"/>
        <v>0.12705</v>
      </c>
      <c r="BL255" s="52">
        <f t="shared" si="146"/>
        <v>0.12705</v>
      </c>
      <c r="BM255" s="52">
        <f t="shared" si="146"/>
        <v>0.12705</v>
      </c>
      <c r="BN255" s="52">
        <f t="shared" si="146"/>
        <v>0.12705</v>
      </c>
      <c r="BO255" s="52">
        <f t="shared" si="146"/>
        <v>0.12705</v>
      </c>
      <c r="BP255" s="52">
        <f t="shared" si="146"/>
        <v>0.12705</v>
      </c>
      <c r="BQ255" s="52">
        <f t="shared" si="146"/>
        <v>0.12705</v>
      </c>
      <c r="BR255" s="52">
        <f t="shared" si="146"/>
        <v>0.12705</v>
      </c>
      <c r="BS255" s="52">
        <f t="shared" si="146"/>
        <v>0.12705</v>
      </c>
      <c r="BT255" s="52">
        <f t="shared" si="146"/>
        <v>0.12705</v>
      </c>
      <c r="BU255" s="52">
        <f t="shared" si="146"/>
        <v>0.12705</v>
      </c>
      <c r="BV255" s="52">
        <f t="shared" si="146"/>
        <v>0.12705</v>
      </c>
      <c r="BW255" s="52">
        <f t="shared" si="146"/>
        <v>0.12705</v>
      </c>
      <c r="BX255" s="52">
        <f t="shared" si="146"/>
        <v>0.12705</v>
      </c>
      <c r="BY255" s="52">
        <f t="shared" si="146"/>
        <v>0.12705</v>
      </c>
      <c r="BZ255" s="52">
        <f t="shared" si="146"/>
        <v>0.12705</v>
      </c>
      <c r="CA255" s="52">
        <f t="shared" si="146"/>
        <v>0.12705</v>
      </c>
      <c r="CB255" s="52">
        <f t="shared" si="146"/>
        <v>0.12705</v>
      </c>
      <c r="CC255" s="52">
        <f t="shared" si="146"/>
        <v>0.12705</v>
      </c>
      <c r="CD255" s="52">
        <f t="shared" si="146"/>
        <v>0.12705</v>
      </c>
      <c r="CE255" s="52">
        <f t="shared" si="146"/>
        <v>0.12705</v>
      </c>
      <c r="CF255" s="52">
        <f t="shared" si="146"/>
        <v>0.12705</v>
      </c>
      <c r="CG255" s="52">
        <f t="shared" si="146"/>
        <v>0.12705</v>
      </c>
      <c r="CH255" s="52">
        <f t="shared" si="146"/>
        <v>0.12705</v>
      </c>
      <c r="CI255" s="52">
        <f t="shared" si="146"/>
        <v>0.12705</v>
      </c>
      <c r="CJ255" s="52">
        <f t="shared" si="146"/>
        <v>0.12705</v>
      </c>
      <c r="CK255" s="52">
        <f t="shared" si="146"/>
        <v>0.12705</v>
      </c>
      <c r="CL255" s="52">
        <f t="shared" si="146"/>
        <v>0.12705</v>
      </c>
      <c r="CM255" s="52">
        <f t="shared" si="146"/>
        <v>0.12705</v>
      </c>
    </row>
    <row r="256" spans="1:91" ht="18.75">
      <c r="A256" s="46"/>
      <c r="B256" s="42">
        <f t="shared" si="141"/>
        <v>342</v>
      </c>
      <c r="C256" s="569"/>
      <c r="D256" s="574" t="str">
        <f t="shared" si="142"/>
        <v/>
      </c>
      <c r="E256" s="42">
        <f t="shared" si="143"/>
        <v>338</v>
      </c>
      <c r="F256" s="655"/>
      <c r="G256" s="36" t="str">
        <f t="shared" si="144"/>
        <v/>
      </c>
      <c r="AA256" s="50">
        <v>654.9</v>
      </c>
      <c r="AB256" s="51">
        <v>80.938999999999993</v>
      </c>
      <c r="AC256" s="52">
        <f t="shared" si="68"/>
        <v>9.1842165612412902E-2</v>
      </c>
    </row>
    <row r="257" spans="1:29" ht="14.25" customHeight="1" thickBot="1">
      <c r="A257" s="46"/>
      <c r="B257" s="42">
        <f t="shared" si="141"/>
        <v>341</v>
      </c>
      <c r="C257" s="569"/>
      <c r="D257" s="574" t="str">
        <f t="shared" si="142"/>
        <v/>
      </c>
      <c r="E257" s="42">
        <f t="shared" si="143"/>
        <v>337.5</v>
      </c>
      <c r="F257" s="655"/>
      <c r="G257" s="36" t="str">
        <f t="shared" si="144"/>
        <v/>
      </c>
      <c r="L257" s="48"/>
      <c r="AA257" s="50">
        <v>654.79999999999995</v>
      </c>
      <c r="AB257" s="51">
        <v>80.849999999999994</v>
      </c>
      <c r="AC257" s="52">
        <f t="shared" si="68"/>
        <v>9.2319975757580053E-2</v>
      </c>
    </row>
    <row r="258" spans="1:29">
      <c r="A258" s="590" t="s">
        <v>352</v>
      </c>
      <c r="B258" s="42">
        <f t="shared" si="141"/>
        <v>340</v>
      </c>
      <c r="C258" s="569">
        <v>7.2999999999999995E-2</v>
      </c>
      <c r="D258" s="574" t="str">
        <f t="shared" si="142"/>
        <v/>
      </c>
      <c r="E258" s="42">
        <f t="shared" si="143"/>
        <v>337</v>
      </c>
      <c r="F258" s="655">
        <v>7.2999999999999995E-2</v>
      </c>
      <c r="G258" s="36" t="str">
        <f t="shared" si="144"/>
        <v/>
      </c>
      <c r="U258" s="95" t="s">
        <v>87</v>
      </c>
      <c r="V258" s="96">
        <f>X259 - X258</f>
        <v>2</v>
      </c>
      <c r="W258" s="97" t="s">
        <v>92</v>
      </c>
      <c r="X258" s="117">
        <v>333</v>
      </c>
      <c r="Y258" s="98" t="s">
        <v>53</v>
      </c>
      <c r="AA258" s="50">
        <v>654.70000000000005</v>
      </c>
      <c r="AB258" s="51">
        <v>80.765000000000001</v>
      </c>
      <c r="AC258" s="52">
        <f t="shared" si="68"/>
        <v>9.2776802591296212E-2</v>
      </c>
    </row>
    <row r="259" spans="1:29" ht="15" customHeight="1" thickBot="1">
      <c r="A259" s="65"/>
      <c r="B259" s="42">
        <f t="shared" si="141"/>
        <v>339</v>
      </c>
      <c r="C259" s="569">
        <v>7.3999999999999996E-2</v>
      </c>
      <c r="D259" s="574" t="str">
        <f t="shared" si="142"/>
        <v/>
      </c>
      <c r="E259" s="42">
        <f t="shared" si="143"/>
        <v>336.5</v>
      </c>
      <c r="F259" s="655">
        <v>7.4999999999999997E-2</v>
      </c>
      <c r="G259" s="36" t="str">
        <f t="shared" si="144"/>
        <v/>
      </c>
      <c r="U259" s="99" t="s">
        <v>93</v>
      </c>
      <c r="V259" s="100">
        <f>X255 - Y255</f>
        <v>4.385E-2</v>
      </c>
      <c r="W259" s="101" t="s">
        <v>94</v>
      </c>
      <c r="X259" s="118">
        <v>335</v>
      </c>
      <c r="Y259" s="102" t="s">
        <v>53</v>
      </c>
      <c r="AA259" s="50">
        <v>654.6</v>
      </c>
      <c r="AB259" s="51">
        <v>80.69</v>
      </c>
      <c r="AC259" s="52">
        <f t="shared" si="68"/>
        <v>9.3180284533454616E-2</v>
      </c>
    </row>
    <row r="260" spans="1:29" ht="15" customHeight="1">
      <c r="A260" s="65"/>
      <c r="B260" s="42">
        <f t="shared" si="141"/>
        <v>338</v>
      </c>
      <c r="C260" s="569">
        <v>7.8E-2</v>
      </c>
      <c r="D260" s="574" t="str">
        <f t="shared" si="142"/>
        <v/>
      </c>
      <c r="E260" s="42">
        <f t="shared" si="143"/>
        <v>336</v>
      </c>
      <c r="F260" s="655">
        <v>8.1000000000000003E-2</v>
      </c>
      <c r="G260" s="36" t="str">
        <f t="shared" si="144"/>
        <v/>
      </c>
      <c r="AA260" s="50">
        <v>654.5</v>
      </c>
      <c r="AB260" s="51">
        <v>80.591999999999999</v>
      </c>
      <c r="AC260" s="52">
        <f t="shared" si="68"/>
        <v>9.3708066486364025E-2</v>
      </c>
    </row>
    <row r="261" spans="1:29">
      <c r="A261" s="65"/>
      <c r="B261" s="42">
        <f t="shared" si="141"/>
        <v>337</v>
      </c>
      <c r="C261" s="569">
        <v>8.6999999999999994E-2</v>
      </c>
      <c r="D261" s="574" t="str">
        <f t="shared" si="142"/>
        <v/>
      </c>
      <c r="E261" s="42">
        <f t="shared" si="143"/>
        <v>335.5</v>
      </c>
      <c r="F261" s="655">
        <v>0.09</v>
      </c>
      <c r="G261" s="36" t="str">
        <f t="shared" si="144"/>
        <v/>
      </c>
      <c r="AA261" s="50">
        <v>654.4</v>
      </c>
      <c r="AB261" s="51">
        <v>80.486999999999995</v>
      </c>
      <c r="AC261" s="52">
        <f t="shared" si="68"/>
        <v>9.427425980838193E-2</v>
      </c>
    </row>
    <row r="262" spans="1:29" ht="15" customHeight="1">
      <c r="A262" s="65"/>
      <c r="B262" s="42">
        <f t="shared" si="141"/>
        <v>336</v>
      </c>
      <c r="C262" s="569">
        <v>9.6000000000000002E-2</v>
      </c>
      <c r="D262" s="574" t="str">
        <f t="shared" si="142"/>
        <v/>
      </c>
      <c r="E262" s="42">
        <f t="shared" si="143"/>
        <v>335</v>
      </c>
      <c r="F262" s="655">
        <v>9.9000000000000005E-2</v>
      </c>
      <c r="G262" s="36" t="str">
        <f t="shared" si="144"/>
        <v/>
      </c>
      <c r="AA262" s="50">
        <v>654.29999999999995</v>
      </c>
      <c r="AB262" s="51">
        <v>80.33</v>
      </c>
      <c r="AC262" s="52">
        <f t="shared" si="68"/>
        <v>9.5122233036595352E-2</v>
      </c>
    </row>
    <row r="263" spans="1:29">
      <c r="A263" s="59" t="s">
        <v>345</v>
      </c>
      <c r="B263" s="42">
        <f>IF(ISNUMBER($G$45),B264+$G$45,"")</f>
        <v>335</v>
      </c>
      <c r="C263" s="569">
        <v>0.10299999999999999</v>
      </c>
      <c r="D263" s="574">
        <f t="shared" si="142"/>
        <v>0.10299999999999999</v>
      </c>
      <c r="E263" s="42">
        <f>IF(ISNUMBER($G$45),E264+$K$45,"")</f>
        <v>334.5</v>
      </c>
      <c r="F263" s="655">
        <v>0.10299999999999999</v>
      </c>
      <c r="G263" s="36">
        <f t="shared" si="144"/>
        <v>0.10299999999999999</v>
      </c>
      <c r="AA263" s="50">
        <v>654.20000000000005</v>
      </c>
      <c r="AB263" s="51">
        <v>80.191999999999993</v>
      </c>
      <c r="AC263" s="52">
        <f t="shared" si="68"/>
        <v>9.586895502196284E-2</v>
      </c>
    </row>
    <row r="264" spans="1:29">
      <c r="A264" s="45">
        <v>333.84</v>
      </c>
      <c r="B264" s="121">
        <v>334</v>
      </c>
      <c r="C264" s="569">
        <v>0.10100000000000001</v>
      </c>
      <c r="D264" s="574" t="str">
        <f>IF(C264&lt;&gt;"",IF(C264 = LARGE($C$252:$C$276,1), C264, ""), "")</f>
        <v/>
      </c>
      <c r="E264" s="121">
        <v>334</v>
      </c>
      <c r="F264" s="655">
        <v>9.9000000000000005E-2</v>
      </c>
      <c r="G264" s="36" t="str">
        <f t="shared" si="144"/>
        <v/>
      </c>
      <c r="AA264" s="50">
        <v>654.1</v>
      </c>
      <c r="AB264" s="51">
        <v>80.052999999999997</v>
      </c>
      <c r="AC264" s="52">
        <f t="shared" si="68"/>
        <v>9.6622388179003607E-2</v>
      </c>
    </row>
    <row r="265" spans="1:29">
      <c r="A265" s="65"/>
      <c r="B265" s="42">
        <f>IF(ISNUMBER($G$45),B264-$G$45,"")</f>
        <v>333</v>
      </c>
      <c r="C265" s="569">
        <v>9.4E-2</v>
      </c>
      <c r="D265" s="574" t="str">
        <f t="shared" ref="D265:D276" si="147">IF(C265&lt;&gt;"",IF(C265 = LARGE($C$252:$C$276,1), C265, ""), "")</f>
        <v/>
      </c>
      <c r="E265" s="42">
        <f>IF(ISNUMBER($G$45),E264-$K$45,"")</f>
        <v>333.5</v>
      </c>
      <c r="F265" s="655">
        <v>0.09</v>
      </c>
      <c r="G265" s="36" t="str">
        <f t="shared" si="144"/>
        <v/>
      </c>
      <c r="AA265" s="50">
        <v>654</v>
      </c>
      <c r="AB265" s="51">
        <v>79.881</v>
      </c>
      <c r="AC265" s="52">
        <f t="shared" si="68"/>
        <v>9.7556506999087814E-2</v>
      </c>
    </row>
    <row r="266" spans="1:29">
      <c r="A266" s="65"/>
      <c r="B266" s="42">
        <f t="shared" ref="B266:B276" si="148">IF(ISNUMBER($G$45),B265-$G$45,"")</f>
        <v>332</v>
      </c>
      <c r="C266" s="572">
        <v>7.8E-2</v>
      </c>
      <c r="D266" s="574" t="str">
        <f t="shared" si="147"/>
        <v/>
      </c>
      <c r="E266" s="42">
        <f t="shared" ref="E266:E276" si="149">IF(ISNUMBER($G$45),E265-$K$45,"")</f>
        <v>333</v>
      </c>
      <c r="F266" s="655">
        <v>7.3999999999999996E-2</v>
      </c>
      <c r="G266" s="36" t="str">
        <f t="shared" si="144"/>
        <v/>
      </c>
      <c r="AA266" s="50">
        <v>653.9</v>
      </c>
      <c r="AB266" s="51">
        <v>79.721000000000004</v>
      </c>
      <c r="AC266" s="52">
        <f t="shared" ref="AC266:AC329" si="150">-LOG(AB266/100)</f>
        <v>9.8427262257575393E-2</v>
      </c>
    </row>
    <row r="267" spans="1:29">
      <c r="A267" s="65"/>
      <c r="B267" s="42">
        <f t="shared" si="148"/>
        <v>331</v>
      </c>
      <c r="C267" s="572">
        <v>6.7000000000000004E-2</v>
      </c>
      <c r="D267" s="574" t="str">
        <f t="shared" si="147"/>
        <v/>
      </c>
      <c r="E267" s="42">
        <f t="shared" si="149"/>
        <v>332.5</v>
      </c>
      <c r="F267" s="655">
        <v>6.4000000000000001E-2</v>
      </c>
      <c r="G267" s="36" t="str">
        <f t="shared" si="144"/>
        <v/>
      </c>
      <c r="AA267" s="50">
        <v>653.79999999999995</v>
      </c>
      <c r="AB267" s="51">
        <v>79.527000000000001</v>
      </c>
      <c r="AC267" s="52">
        <f t="shared" si="150"/>
        <v>9.9485400145254449E-2</v>
      </c>
    </row>
    <row r="268" spans="1:29">
      <c r="A268" s="65"/>
      <c r="B268" s="42">
        <f t="shared" si="148"/>
        <v>330</v>
      </c>
      <c r="C268" s="572">
        <v>0.06</v>
      </c>
      <c r="D268" s="574" t="str">
        <f t="shared" si="147"/>
        <v/>
      </c>
      <c r="E268" s="42">
        <f t="shared" si="149"/>
        <v>332</v>
      </c>
      <c r="F268" s="655">
        <v>5.8000000000000003E-2</v>
      </c>
      <c r="G268" s="36" t="str">
        <f t="shared" si="144"/>
        <v/>
      </c>
      <c r="AA268" s="50">
        <v>653.70000000000005</v>
      </c>
      <c r="AB268" s="51">
        <v>79.436000000000007</v>
      </c>
      <c r="AC268" s="52">
        <f t="shared" si="150"/>
        <v>9.9982632861928461E-2</v>
      </c>
    </row>
    <row r="269" spans="1:29">
      <c r="A269" s="65"/>
      <c r="B269" s="42">
        <f t="shared" si="148"/>
        <v>329</v>
      </c>
      <c r="C269" s="572">
        <v>5.6000000000000001E-2</v>
      </c>
      <c r="D269" s="574" t="str">
        <f t="shared" si="147"/>
        <v/>
      </c>
      <c r="E269" s="42">
        <f t="shared" si="149"/>
        <v>331.5</v>
      </c>
      <c r="F269" s="655">
        <v>5.5E-2</v>
      </c>
      <c r="G269" s="36" t="str">
        <f t="shared" si="144"/>
        <v/>
      </c>
      <c r="AA269" s="50">
        <v>653.6</v>
      </c>
      <c r="AB269" s="51">
        <v>79.248000000000005</v>
      </c>
      <c r="AC269" s="52">
        <f t="shared" si="150"/>
        <v>0.10101168936161911</v>
      </c>
    </row>
    <row r="270" spans="1:29">
      <c r="A270" s="590" t="s">
        <v>351</v>
      </c>
      <c r="B270" s="42">
        <f t="shared" si="148"/>
        <v>328</v>
      </c>
      <c r="C270" s="572">
        <v>5.3999999999999999E-2</v>
      </c>
      <c r="D270" s="574" t="str">
        <f t="shared" si="147"/>
        <v/>
      </c>
      <c r="E270" s="42">
        <f t="shared" si="149"/>
        <v>331</v>
      </c>
      <c r="F270" s="655">
        <v>5.3999999999999999E-2</v>
      </c>
      <c r="G270" s="36" t="str">
        <f t="shared" si="144"/>
        <v/>
      </c>
      <c r="AA270" s="50">
        <v>653.5</v>
      </c>
      <c r="AB270" s="51">
        <v>79.102000000000004</v>
      </c>
      <c r="AC270" s="52">
        <f t="shared" si="150"/>
        <v>0.10181253574400363</v>
      </c>
    </row>
    <row r="271" spans="1:29" ht="15" customHeight="1">
      <c r="A271" s="65"/>
      <c r="B271" s="42">
        <f t="shared" si="148"/>
        <v>327</v>
      </c>
      <c r="C271" s="572"/>
      <c r="D271" s="574" t="str">
        <f t="shared" si="147"/>
        <v/>
      </c>
      <c r="E271" s="42">
        <f t="shared" si="149"/>
        <v>330.5</v>
      </c>
      <c r="F271" s="655"/>
      <c r="G271" s="36" t="str">
        <f t="shared" si="144"/>
        <v/>
      </c>
      <c r="AA271" s="50">
        <v>653.4</v>
      </c>
      <c r="AB271" s="51">
        <v>78.960999999999999</v>
      </c>
      <c r="AC271" s="52">
        <f t="shared" si="150"/>
        <v>0.1025873601898402</v>
      </c>
    </row>
    <row r="272" spans="1:29" ht="15" customHeight="1">
      <c r="A272" s="65"/>
      <c r="B272" s="42">
        <f t="shared" si="148"/>
        <v>326</v>
      </c>
      <c r="C272" s="572"/>
      <c r="D272" s="574" t="str">
        <f t="shared" si="147"/>
        <v/>
      </c>
      <c r="E272" s="42">
        <f t="shared" si="149"/>
        <v>330</v>
      </c>
      <c r="F272" s="655"/>
      <c r="G272" s="36" t="str">
        <f t="shared" si="144"/>
        <v/>
      </c>
      <c r="AA272" s="50">
        <v>653.29999999999995</v>
      </c>
      <c r="AB272" s="51">
        <v>78.796000000000006</v>
      </c>
      <c r="AC272" s="52">
        <f t="shared" si="150"/>
        <v>0.10349582847516436</v>
      </c>
    </row>
    <row r="273" spans="1:91" ht="15" customHeight="1">
      <c r="A273" s="65"/>
      <c r="B273" s="42">
        <f t="shared" si="148"/>
        <v>325</v>
      </c>
      <c r="C273" s="572"/>
      <c r="D273" s="574" t="str">
        <f t="shared" si="147"/>
        <v/>
      </c>
      <c r="E273" s="42">
        <f t="shared" si="149"/>
        <v>329.5</v>
      </c>
      <c r="F273" s="655"/>
      <c r="G273" s="36" t="str">
        <f t="shared" si="144"/>
        <v/>
      </c>
      <c r="AA273" s="50">
        <v>653.20000000000005</v>
      </c>
      <c r="AB273" s="51">
        <v>78.614999999999995</v>
      </c>
      <c r="AC273" s="52">
        <f t="shared" si="150"/>
        <v>0.10449458124172543</v>
      </c>
    </row>
    <row r="274" spans="1:91" ht="15" customHeight="1">
      <c r="A274" s="65"/>
      <c r="B274" s="42">
        <f t="shared" si="148"/>
        <v>324</v>
      </c>
      <c r="C274" s="572"/>
      <c r="D274" s="574" t="str">
        <f t="shared" si="147"/>
        <v/>
      </c>
      <c r="E274" s="42">
        <f t="shared" si="149"/>
        <v>329</v>
      </c>
      <c r="F274" s="655"/>
      <c r="G274" s="36" t="str">
        <f t="shared" si="144"/>
        <v/>
      </c>
      <c r="AA274" s="50">
        <v>653.1</v>
      </c>
      <c r="AB274" s="51">
        <v>78.436999999999998</v>
      </c>
      <c r="AC274" s="52">
        <f t="shared" si="150"/>
        <v>0.10547902525873151</v>
      </c>
    </row>
    <row r="275" spans="1:91">
      <c r="A275" s="65"/>
      <c r="B275" s="42">
        <f t="shared" si="148"/>
        <v>323</v>
      </c>
      <c r="C275" s="572"/>
      <c r="D275" s="574" t="str">
        <f t="shared" si="147"/>
        <v/>
      </c>
      <c r="E275" s="42">
        <f t="shared" si="149"/>
        <v>328.5</v>
      </c>
      <c r="F275" s="655"/>
      <c r="G275" s="36" t="str">
        <f t="shared" si="144"/>
        <v/>
      </c>
      <c r="AA275" s="50">
        <v>653</v>
      </c>
      <c r="AB275" s="51">
        <v>78.186999999999998</v>
      </c>
      <c r="AC275" s="52">
        <f t="shared" si="150"/>
        <v>0.1068654502342589</v>
      </c>
    </row>
    <row r="276" spans="1:91" ht="15.75" thickBot="1">
      <c r="A276" s="66"/>
      <c r="B276" s="47">
        <f t="shared" si="148"/>
        <v>322</v>
      </c>
      <c r="C276" s="570"/>
      <c r="D276" s="575" t="str">
        <f t="shared" si="147"/>
        <v/>
      </c>
      <c r="E276" s="47">
        <f t="shared" si="149"/>
        <v>328</v>
      </c>
      <c r="F276" s="661"/>
      <c r="G276" s="571" t="str">
        <f t="shared" si="144"/>
        <v/>
      </c>
      <c r="AA276" s="50">
        <v>652.9</v>
      </c>
      <c r="AB276" s="51">
        <v>77.941000000000003</v>
      </c>
      <c r="AC276" s="52">
        <f t="shared" si="150"/>
        <v>0.10823402641482134</v>
      </c>
    </row>
    <row r="277" spans="1:91" ht="15.75" thickTop="1">
      <c r="A277" s="65"/>
      <c r="B277" s="42">
        <f t="shared" ref="B277:B287" si="151">IF(ISNUMBER($G$45),B278+$G$45,"")</f>
        <v>299</v>
      </c>
      <c r="C277" s="567"/>
      <c r="D277" s="574" t="str">
        <f t="shared" ref="D277:D288" si="152">IF(C277&lt;&gt;"",IF(C277 = LARGE($C$277:$C$301,1), C277, ""), "")</f>
        <v/>
      </c>
      <c r="E277" s="42">
        <f t="shared" ref="E277:E287" si="153">IF(ISNUMBER($G$45),E278+$K$45,"")</f>
        <v>293</v>
      </c>
      <c r="F277" s="660"/>
      <c r="G277" s="36" t="str">
        <f t="shared" ref="G277:G288" si="154">IF(F277 &lt;&gt;"", IF(F277 = LARGE($F$277:$F$301,1), F277, ""), "")</f>
        <v/>
      </c>
      <c r="AA277" s="50">
        <v>652.79999999999995</v>
      </c>
      <c r="AB277" s="51">
        <v>77.744</v>
      </c>
      <c r="AC277" s="52">
        <f t="shared" si="150"/>
        <v>0.10933311828106895</v>
      </c>
    </row>
    <row r="278" spans="1:91" ht="15.75" thickBot="1">
      <c r="A278" s="65"/>
      <c r="B278" s="42">
        <f t="shared" si="151"/>
        <v>298</v>
      </c>
      <c r="C278" s="568"/>
      <c r="D278" s="574" t="str">
        <f t="shared" si="152"/>
        <v/>
      </c>
      <c r="E278" s="42">
        <f t="shared" si="153"/>
        <v>292.5</v>
      </c>
      <c r="F278" s="655"/>
      <c r="G278" s="36" t="str">
        <f t="shared" si="154"/>
        <v/>
      </c>
      <c r="U278" s="589" t="s">
        <v>348</v>
      </c>
      <c r="AA278" s="50">
        <v>652.70000000000005</v>
      </c>
      <c r="AB278" s="51">
        <v>77.564999999999998</v>
      </c>
      <c r="AC278" s="52">
        <f t="shared" si="150"/>
        <v>0.11033420317224903</v>
      </c>
    </row>
    <row r="279" spans="1:91">
      <c r="A279" s="65"/>
      <c r="B279" s="42">
        <f t="shared" si="151"/>
        <v>297</v>
      </c>
      <c r="C279" s="568"/>
      <c r="D279" s="574" t="str">
        <f t="shared" si="152"/>
        <v/>
      </c>
      <c r="E279" s="42">
        <f t="shared" si="153"/>
        <v>292</v>
      </c>
      <c r="F279" s="655"/>
      <c r="G279" s="36" t="str">
        <f t="shared" si="154"/>
        <v/>
      </c>
      <c r="U279" s="103" t="s">
        <v>88</v>
      </c>
      <c r="V279" s="104" t="s">
        <v>89</v>
      </c>
      <c r="W279" s="105" t="s">
        <v>90</v>
      </c>
      <c r="X279" s="104" t="s">
        <v>91</v>
      </c>
      <c r="Y279" s="106" t="s">
        <v>96</v>
      </c>
      <c r="AA279" s="50">
        <v>652.6</v>
      </c>
      <c r="AB279" s="51">
        <v>77.328999999999994</v>
      </c>
      <c r="AC279" s="52">
        <f t="shared" si="150"/>
        <v>0.11165760597725929</v>
      </c>
      <c r="AD279" s="746" t="s">
        <v>95</v>
      </c>
      <c r="AE279" s="50">
        <v>281.5</v>
      </c>
      <c r="AF279" s="50">
        <f t="shared" ref="AF279" si="155">AE279+0.2</f>
        <v>281.7</v>
      </c>
      <c r="AG279" s="50">
        <f t="shared" ref="AG279" si="156">AF279+0.2</f>
        <v>281.89999999999998</v>
      </c>
      <c r="AH279" s="50">
        <f t="shared" ref="AH279" si="157">AG279+0.2</f>
        <v>282.09999999999997</v>
      </c>
      <c r="AI279" s="50">
        <f t="shared" ref="AI279" si="158">AH279+0.2</f>
        <v>282.29999999999995</v>
      </c>
      <c r="AJ279" s="50">
        <f t="shared" ref="AJ279" si="159">AI279+0.2</f>
        <v>282.49999999999994</v>
      </c>
      <c r="AK279" s="50">
        <f t="shared" ref="AK279" si="160">AJ279+0.2</f>
        <v>282.69999999999993</v>
      </c>
      <c r="AL279" s="50">
        <f t="shared" ref="AL279" si="161">AK279+0.2</f>
        <v>282.89999999999992</v>
      </c>
      <c r="AM279" s="50">
        <f t="shared" ref="AM279" si="162">AL279+0.2</f>
        <v>283.09999999999991</v>
      </c>
      <c r="AN279" s="50">
        <f t="shared" ref="AN279" si="163">AM279+0.2</f>
        <v>283.2999999999999</v>
      </c>
      <c r="AO279" s="50">
        <f t="shared" ref="AO279" si="164">AN279+0.2</f>
        <v>283.49999999999989</v>
      </c>
      <c r="AP279" s="50">
        <f t="shared" ref="AP279" si="165">AO279+0.2</f>
        <v>283.69999999999987</v>
      </c>
      <c r="AQ279" s="50">
        <f t="shared" ref="AQ279" si="166">AP279+0.2</f>
        <v>283.89999999999986</v>
      </c>
      <c r="AR279" s="50">
        <f t="shared" ref="AR279" si="167">AQ279+0.2</f>
        <v>284.09999999999985</v>
      </c>
      <c r="AS279" s="50">
        <f t="shared" ref="AS279" si="168">AR279+0.2</f>
        <v>284.29999999999984</v>
      </c>
      <c r="AT279" s="50">
        <f t="shared" ref="AT279" si="169">AS279+0.2</f>
        <v>284.49999999999983</v>
      </c>
      <c r="AU279" s="50">
        <f t="shared" ref="AU279" si="170">AT279+0.2</f>
        <v>284.69999999999982</v>
      </c>
      <c r="AV279" s="50">
        <f t="shared" ref="AV279" si="171">AU279+0.2</f>
        <v>284.89999999999981</v>
      </c>
      <c r="AW279" s="50">
        <f t="shared" ref="AW279" si="172">AV279+0.2</f>
        <v>285.0999999999998</v>
      </c>
      <c r="AX279" s="50">
        <f t="shared" ref="AX279" si="173">AW279+0.2</f>
        <v>285.29999999999978</v>
      </c>
      <c r="AY279" s="50">
        <f t="shared" ref="AY279" si="174">AX279+0.2</f>
        <v>285.49999999999977</v>
      </c>
      <c r="AZ279" s="50">
        <f t="shared" ref="AZ279" si="175">AY279+0.2</f>
        <v>285.69999999999976</v>
      </c>
      <c r="BA279" s="50">
        <f t="shared" ref="BA279" si="176">AZ279+0.2</f>
        <v>285.89999999999975</v>
      </c>
      <c r="BB279" s="50">
        <f t="shared" ref="BB279" si="177">BA279+0.2</f>
        <v>286.09999999999974</v>
      </c>
      <c r="BC279" s="50">
        <f t="shared" ref="BC279" si="178">BB279+0.2</f>
        <v>286.29999999999973</v>
      </c>
      <c r="BD279" s="50">
        <f t="shared" ref="BD279" si="179">BC279+0.2</f>
        <v>286.49999999999972</v>
      </c>
      <c r="BE279" s="50">
        <f t="shared" ref="BE279" si="180">BD279+0.2</f>
        <v>286.6999999999997</v>
      </c>
      <c r="BF279" s="50">
        <f t="shared" ref="BF279" si="181">BE279+0.2</f>
        <v>286.89999999999969</v>
      </c>
      <c r="BG279" s="50">
        <f t="shared" ref="BG279" si="182">BF279+0.2</f>
        <v>287.09999999999968</v>
      </c>
      <c r="BH279" s="50">
        <f t="shared" ref="BH279" si="183">BG279+0.2</f>
        <v>287.29999999999967</v>
      </c>
      <c r="BI279" s="50">
        <f t="shared" ref="BI279" si="184">BH279+0.2</f>
        <v>287.49999999999966</v>
      </c>
      <c r="BJ279" s="50">
        <f t="shared" ref="BJ279" si="185">BI279+0.2</f>
        <v>287.69999999999965</v>
      </c>
      <c r="BK279" s="50">
        <f t="shared" ref="BK279" si="186">BJ279+0.2</f>
        <v>287.89999999999964</v>
      </c>
      <c r="BL279" s="50">
        <f t="shared" ref="BL279" si="187">BK279+0.2</f>
        <v>288.09999999999962</v>
      </c>
      <c r="BM279" s="50">
        <f t="shared" ref="BM279" si="188">BL279+0.2</f>
        <v>288.29999999999961</v>
      </c>
      <c r="BN279" s="50">
        <f t="shared" ref="BN279" si="189">BM279+0.2</f>
        <v>288.4999999999996</v>
      </c>
      <c r="BO279" s="50">
        <f t="shared" ref="BO279" si="190">BN279+0.2</f>
        <v>288.69999999999959</v>
      </c>
      <c r="BP279" s="50">
        <f t="shared" ref="BP279" si="191">BO279+0.2</f>
        <v>288.89999999999958</v>
      </c>
      <c r="BQ279" s="50">
        <f t="shared" ref="BQ279" si="192">BP279+0.2</f>
        <v>289.09999999999957</v>
      </c>
      <c r="BR279" s="50">
        <f t="shared" ref="BR279" si="193">BQ279+0.2</f>
        <v>289.29999999999956</v>
      </c>
      <c r="BS279" s="50">
        <f t="shared" ref="BS279" si="194">BR279+0.2</f>
        <v>289.49999999999955</v>
      </c>
      <c r="BT279" s="50">
        <f t="shared" ref="BT279" si="195">BS279+0.2</f>
        <v>289.69999999999953</v>
      </c>
      <c r="BU279" s="50">
        <f t="shared" ref="BU279" si="196">BT279+0.2</f>
        <v>289.89999999999952</v>
      </c>
      <c r="BV279" s="50">
        <f t="shared" ref="BV279" si="197">BU279+0.2</f>
        <v>290.09999999999951</v>
      </c>
      <c r="BW279" s="50">
        <f t="shared" ref="BW279" si="198">BV279+0.2</f>
        <v>290.2999999999995</v>
      </c>
      <c r="BX279" s="50">
        <f t="shared" ref="BX279" si="199">BW279+0.2</f>
        <v>290.49999999999949</v>
      </c>
      <c r="BY279" s="50">
        <f t="shared" ref="BY279" si="200">BX279+0.2</f>
        <v>290.69999999999948</v>
      </c>
      <c r="BZ279" s="50">
        <f t="shared" ref="BZ279" si="201">BY279+0.2</f>
        <v>290.89999999999947</v>
      </c>
      <c r="CA279" s="50">
        <f t="shared" ref="CA279" si="202">BZ279+0.2</f>
        <v>291.09999999999945</v>
      </c>
      <c r="CB279" s="50">
        <f t="shared" ref="CB279" si="203">CA279+0.2</f>
        <v>291.29999999999944</v>
      </c>
      <c r="CC279" s="50">
        <f t="shared" ref="CC279" si="204">CB279+0.2</f>
        <v>291.49999999999943</v>
      </c>
      <c r="CD279" s="50">
        <f t="shared" ref="CD279" si="205">CC279+0.2</f>
        <v>291.69999999999942</v>
      </c>
      <c r="CE279" s="50">
        <f t="shared" ref="CE279" si="206">CD279+0.2</f>
        <v>291.89999999999941</v>
      </c>
      <c r="CF279" s="50">
        <f t="shared" ref="CF279" si="207">CE279+0.2</f>
        <v>292.0999999999994</v>
      </c>
      <c r="CG279" s="50">
        <f t="shared" ref="CG279" si="208">CF279+0.2</f>
        <v>292.29999999999939</v>
      </c>
      <c r="CH279" s="50">
        <f t="shared" ref="CH279" si="209">CG279+0.2</f>
        <v>292.49999999999937</v>
      </c>
      <c r="CI279" s="50">
        <f t="shared" ref="CI279" si="210">CH279+0.2</f>
        <v>292.69999999999936</v>
      </c>
      <c r="CJ279" s="50">
        <f t="shared" ref="CJ279" si="211">CI279+0.2</f>
        <v>292.89999999999935</v>
      </c>
      <c r="CK279" s="50">
        <f t="shared" ref="CK279" si="212">CJ279+0.2</f>
        <v>293.09999999999934</v>
      </c>
      <c r="CL279" s="50">
        <f t="shared" ref="CL279" si="213">CK279+0.2</f>
        <v>293.29999999999933</v>
      </c>
      <c r="CM279" s="50">
        <f t="shared" ref="CM279" si="214">CL279+0.2</f>
        <v>293.49999999999932</v>
      </c>
    </row>
    <row r="280" spans="1:91" ht="15.75" thickBot="1">
      <c r="A280" s="65"/>
      <c r="B280" s="42">
        <f t="shared" si="151"/>
        <v>296</v>
      </c>
      <c r="C280" s="572"/>
      <c r="D280" s="574" t="str">
        <f t="shared" si="152"/>
        <v/>
      </c>
      <c r="E280" s="42">
        <f t="shared" si="153"/>
        <v>291.5</v>
      </c>
      <c r="F280" s="655"/>
      <c r="G280" s="36" t="str">
        <f t="shared" si="154"/>
        <v/>
      </c>
      <c r="U280" s="114">
        <v>289.3</v>
      </c>
      <c r="V280" s="116">
        <v>0.3009</v>
      </c>
      <c r="W280" s="115">
        <v>287.60000000000002</v>
      </c>
      <c r="X280" s="116">
        <v>0.45200000000000001</v>
      </c>
      <c r="Y280" s="107">
        <f>(V280 + X280)/2</f>
        <v>0.37645000000000001</v>
      </c>
      <c r="AA280" s="50">
        <v>652.5</v>
      </c>
      <c r="AB280" s="51">
        <v>77.111000000000004</v>
      </c>
      <c r="AC280" s="52">
        <f t="shared" si="150"/>
        <v>0.11288366476947682</v>
      </c>
      <c r="AD280" s="746"/>
      <c r="AE280" s="52">
        <f>$Y280</f>
        <v>0.37645000000000001</v>
      </c>
      <c r="AF280" s="52">
        <f t="shared" ref="AF280" si="215">AE280</f>
        <v>0.37645000000000001</v>
      </c>
      <c r="AG280" s="52">
        <f t="shared" ref="AG280" si="216">AF280</f>
        <v>0.37645000000000001</v>
      </c>
      <c r="AH280" s="52">
        <f t="shared" ref="AH280" si="217">AG280</f>
        <v>0.37645000000000001</v>
      </c>
      <c r="AI280" s="52">
        <f t="shared" ref="AI280" si="218">AH280</f>
        <v>0.37645000000000001</v>
      </c>
      <c r="AJ280" s="52">
        <f t="shared" ref="AJ280" si="219">AI280</f>
        <v>0.37645000000000001</v>
      </c>
      <c r="AK280" s="52">
        <f t="shared" ref="AK280" si="220">AJ280</f>
        <v>0.37645000000000001</v>
      </c>
      <c r="AL280" s="52">
        <f t="shared" ref="AL280" si="221">AK280</f>
        <v>0.37645000000000001</v>
      </c>
      <c r="AM280" s="52">
        <f t="shared" ref="AM280" si="222">AL280</f>
        <v>0.37645000000000001</v>
      </c>
      <c r="AN280" s="52">
        <f t="shared" ref="AN280" si="223">AM280</f>
        <v>0.37645000000000001</v>
      </c>
      <c r="AO280" s="52">
        <f t="shared" ref="AO280" si="224">AN280</f>
        <v>0.37645000000000001</v>
      </c>
      <c r="AP280" s="52">
        <f t="shared" ref="AP280" si="225">AO280</f>
        <v>0.37645000000000001</v>
      </c>
      <c r="AQ280" s="52">
        <f t="shared" ref="AQ280" si="226">AP280</f>
        <v>0.37645000000000001</v>
      </c>
      <c r="AR280" s="52">
        <f t="shared" ref="AR280" si="227">AQ280</f>
        <v>0.37645000000000001</v>
      </c>
      <c r="AS280" s="52">
        <f t="shared" ref="AS280" si="228">AR280</f>
        <v>0.37645000000000001</v>
      </c>
      <c r="AT280" s="52">
        <f t="shared" ref="AT280" si="229">AS280</f>
        <v>0.37645000000000001</v>
      </c>
      <c r="AU280" s="52">
        <f t="shared" ref="AU280" si="230">AT280</f>
        <v>0.37645000000000001</v>
      </c>
      <c r="AV280" s="52">
        <f t="shared" ref="AV280" si="231">AU280</f>
        <v>0.37645000000000001</v>
      </c>
      <c r="AW280" s="52">
        <f t="shared" ref="AW280" si="232">AV280</f>
        <v>0.37645000000000001</v>
      </c>
      <c r="AX280" s="52">
        <f t="shared" ref="AX280" si="233">AW280</f>
        <v>0.37645000000000001</v>
      </c>
      <c r="AY280" s="52">
        <f t="shared" ref="AY280" si="234">AX280</f>
        <v>0.37645000000000001</v>
      </c>
      <c r="AZ280" s="52">
        <f t="shared" ref="AZ280" si="235">AY280</f>
        <v>0.37645000000000001</v>
      </c>
      <c r="BA280" s="52">
        <f t="shared" ref="BA280" si="236">AZ280</f>
        <v>0.37645000000000001</v>
      </c>
      <c r="BB280" s="52">
        <f t="shared" ref="BB280" si="237">BA280</f>
        <v>0.37645000000000001</v>
      </c>
      <c r="BC280" s="52">
        <f t="shared" ref="BC280" si="238">BB280</f>
        <v>0.37645000000000001</v>
      </c>
      <c r="BD280" s="52">
        <f t="shared" ref="BD280" si="239">BC280</f>
        <v>0.37645000000000001</v>
      </c>
      <c r="BE280" s="52">
        <f t="shared" ref="BE280" si="240">BD280</f>
        <v>0.37645000000000001</v>
      </c>
      <c r="BF280" s="52">
        <f t="shared" ref="BF280" si="241">BE280</f>
        <v>0.37645000000000001</v>
      </c>
      <c r="BG280" s="52">
        <f t="shared" ref="BG280" si="242">BF280</f>
        <v>0.37645000000000001</v>
      </c>
      <c r="BH280" s="52">
        <f t="shared" ref="BH280" si="243">BG280</f>
        <v>0.37645000000000001</v>
      </c>
      <c r="BI280" s="52">
        <f t="shared" ref="BI280" si="244">BH280</f>
        <v>0.37645000000000001</v>
      </c>
      <c r="BJ280" s="52">
        <f t="shared" ref="BJ280" si="245">BI280</f>
        <v>0.37645000000000001</v>
      </c>
      <c r="BK280" s="52">
        <f t="shared" ref="BK280" si="246">BJ280</f>
        <v>0.37645000000000001</v>
      </c>
      <c r="BL280" s="52">
        <f t="shared" ref="BL280" si="247">BK280</f>
        <v>0.37645000000000001</v>
      </c>
      <c r="BM280" s="52">
        <f t="shared" ref="BM280" si="248">BL280</f>
        <v>0.37645000000000001</v>
      </c>
      <c r="BN280" s="52">
        <f t="shared" ref="BN280" si="249">BM280</f>
        <v>0.37645000000000001</v>
      </c>
      <c r="BO280" s="52">
        <f t="shared" ref="BO280" si="250">BN280</f>
        <v>0.37645000000000001</v>
      </c>
      <c r="BP280" s="52">
        <f t="shared" ref="BP280" si="251">BO280</f>
        <v>0.37645000000000001</v>
      </c>
      <c r="BQ280" s="52">
        <f t="shared" ref="BQ280" si="252">BP280</f>
        <v>0.37645000000000001</v>
      </c>
      <c r="BR280" s="52">
        <f t="shared" ref="BR280" si="253">BQ280</f>
        <v>0.37645000000000001</v>
      </c>
      <c r="BS280" s="52">
        <f t="shared" ref="BS280" si="254">BR280</f>
        <v>0.37645000000000001</v>
      </c>
      <c r="BT280" s="52">
        <f t="shared" ref="BT280" si="255">BS280</f>
        <v>0.37645000000000001</v>
      </c>
      <c r="BU280" s="52">
        <f t="shared" ref="BU280" si="256">BT280</f>
        <v>0.37645000000000001</v>
      </c>
      <c r="BV280" s="52">
        <f t="shared" ref="BV280" si="257">BU280</f>
        <v>0.37645000000000001</v>
      </c>
      <c r="BW280" s="52">
        <f t="shared" ref="BW280" si="258">BV280</f>
        <v>0.37645000000000001</v>
      </c>
      <c r="BX280" s="52">
        <f t="shared" ref="BX280" si="259">BW280</f>
        <v>0.37645000000000001</v>
      </c>
      <c r="BY280" s="52">
        <f t="shared" ref="BY280" si="260">BX280</f>
        <v>0.37645000000000001</v>
      </c>
      <c r="BZ280" s="52">
        <f t="shared" ref="BZ280" si="261">BY280</f>
        <v>0.37645000000000001</v>
      </c>
      <c r="CA280" s="52">
        <f t="shared" ref="CA280" si="262">BZ280</f>
        <v>0.37645000000000001</v>
      </c>
      <c r="CB280" s="52">
        <f t="shared" ref="CB280" si="263">CA280</f>
        <v>0.37645000000000001</v>
      </c>
      <c r="CC280" s="52">
        <f t="shared" ref="CC280" si="264">CB280</f>
        <v>0.37645000000000001</v>
      </c>
      <c r="CD280" s="52">
        <f t="shared" ref="CD280" si="265">CC280</f>
        <v>0.37645000000000001</v>
      </c>
      <c r="CE280" s="52">
        <f t="shared" ref="CE280" si="266">CD280</f>
        <v>0.37645000000000001</v>
      </c>
      <c r="CF280" s="52">
        <f t="shared" ref="CF280" si="267">CE280</f>
        <v>0.37645000000000001</v>
      </c>
      <c r="CG280" s="52">
        <f t="shared" ref="CG280" si="268">CF280</f>
        <v>0.37645000000000001</v>
      </c>
      <c r="CH280" s="52">
        <f t="shared" ref="CH280" si="269">CG280</f>
        <v>0.37645000000000001</v>
      </c>
      <c r="CI280" s="52">
        <f t="shared" ref="CI280" si="270">CH280</f>
        <v>0.37645000000000001</v>
      </c>
      <c r="CJ280" s="52">
        <f t="shared" ref="CJ280" si="271">CI280</f>
        <v>0.37645000000000001</v>
      </c>
      <c r="CK280" s="52">
        <f t="shared" ref="CK280" si="272">CJ280</f>
        <v>0.37645000000000001</v>
      </c>
      <c r="CL280" s="52">
        <f t="shared" ref="CL280" si="273">CK280</f>
        <v>0.37645000000000001</v>
      </c>
      <c r="CM280" s="52">
        <f t="shared" ref="CM280" si="274">CL280</f>
        <v>0.37645000000000001</v>
      </c>
    </row>
    <row r="281" spans="1:91" ht="18.75">
      <c r="A281" s="46"/>
      <c r="B281" s="42">
        <f t="shared" si="151"/>
        <v>295</v>
      </c>
      <c r="C281" s="569"/>
      <c r="D281" s="574" t="str">
        <f t="shared" si="152"/>
        <v/>
      </c>
      <c r="E281" s="42">
        <f t="shared" si="153"/>
        <v>291</v>
      </c>
      <c r="F281" s="655"/>
      <c r="G281" s="36" t="str">
        <f t="shared" si="154"/>
        <v/>
      </c>
      <c r="AA281" s="50">
        <v>652.4</v>
      </c>
      <c r="AB281" s="51">
        <v>77.009</v>
      </c>
      <c r="AC281" s="52">
        <f t="shared" si="150"/>
        <v>0.1134585161011894</v>
      </c>
    </row>
    <row r="282" spans="1:91" ht="19.5" thickBot="1">
      <c r="A282" s="46"/>
      <c r="B282" s="42">
        <f t="shared" si="151"/>
        <v>294</v>
      </c>
      <c r="C282" s="569"/>
      <c r="D282" s="574" t="str">
        <f t="shared" si="152"/>
        <v/>
      </c>
      <c r="E282" s="42">
        <f t="shared" si="153"/>
        <v>290.5</v>
      </c>
      <c r="F282" s="655"/>
      <c r="G282" s="36" t="str">
        <f t="shared" si="154"/>
        <v/>
      </c>
      <c r="AA282" s="50">
        <v>652.29999999999995</v>
      </c>
      <c r="AB282" s="51">
        <v>76.781999999999996</v>
      </c>
      <c r="AC282" s="52">
        <f t="shared" si="150"/>
        <v>0.11474057966780242</v>
      </c>
    </row>
    <row r="283" spans="1:91" ht="15" customHeight="1">
      <c r="A283" s="590" t="s">
        <v>352</v>
      </c>
      <c r="B283" s="42">
        <f t="shared" si="151"/>
        <v>293</v>
      </c>
      <c r="C283" s="569">
        <v>0.182</v>
      </c>
      <c r="D283" s="574" t="str">
        <f t="shared" si="152"/>
        <v/>
      </c>
      <c r="E283" s="42">
        <f t="shared" si="153"/>
        <v>290</v>
      </c>
      <c r="F283" s="655">
        <v>0.189</v>
      </c>
      <c r="G283" s="36" t="str">
        <f t="shared" si="154"/>
        <v/>
      </c>
      <c r="U283" s="95" t="s">
        <v>87</v>
      </c>
      <c r="V283" s="96">
        <f>X284 - X283</f>
        <v>1.1999999999999886</v>
      </c>
      <c r="W283" s="97" t="s">
        <v>92</v>
      </c>
      <c r="X283" s="117">
        <v>287.10000000000002</v>
      </c>
      <c r="Y283" s="98" t="s">
        <v>53</v>
      </c>
      <c r="AA283" s="50">
        <v>652.20000000000005</v>
      </c>
      <c r="AB283" s="51">
        <v>76.600999999999999</v>
      </c>
      <c r="AC283" s="52">
        <f t="shared" si="150"/>
        <v>0.11576556076364794</v>
      </c>
    </row>
    <row r="284" spans="1:91" ht="15" customHeight="1" thickBot="1">
      <c r="A284" s="65"/>
      <c r="B284" s="42">
        <f t="shared" si="151"/>
        <v>292</v>
      </c>
      <c r="C284" s="569">
        <v>0.20300000000000001</v>
      </c>
      <c r="D284" s="574" t="str">
        <f t="shared" si="152"/>
        <v/>
      </c>
      <c r="E284" s="42">
        <f t="shared" si="153"/>
        <v>289.5</v>
      </c>
      <c r="F284" s="655">
        <v>0.21</v>
      </c>
      <c r="G284" s="36" t="str">
        <f t="shared" si="154"/>
        <v/>
      </c>
      <c r="U284" s="99" t="s">
        <v>93</v>
      </c>
      <c r="V284" s="100">
        <f>X280 - Y280</f>
        <v>7.5550000000000006E-2</v>
      </c>
      <c r="W284" s="101" t="s">
        <v>94</v>
      </c>
      <c r="X284" s="118">
        <v>288.3</v>
      </c>
      <c r="Y284" s="102" t="s">
        <v>53</v>
      </c>
      <c r="AA284" s="50">
        <v>652.1</v>
      </c>
      <c r="AB284" s="51">
        <v>76.388999999999996</v>
      </c>
      <c r="AC284" s="52">
        <f t="shared" si="150"/>
        <v>0.11696917523641948</v>
      </c>
    </row>
    <row r="285" spans="1:91">
      <c r="A285" s="65"/>
      <c r="B285" s="42">
        <f t="shared" si="151"/>
        <v>291</v>
      </c>
      <c r="C285" s="569">
        <v>0.22700000000000001</v>
      </c>
      <c r="D285" s="574" t="str">
        <f t="shared" si="152"/>
        <v/>
      </c>
      <c r="E285" s="42">
        <f t="shared" si="153"/>
        <v>289</v>
      </c>
      <c r="F285" s="655">
        <v>0.23599999999999999</v>
      </c>
      <c r="G285" s="36" t="str">
        <f t="shared" si="154"/>
        <v/>
      </c>
      <c r="AA285" s="50">
        <v>652</v>
      </c>
      <c r="AB285" s="51">
        <v>76.182000000000002</v>
      </c>
      <c r="AC285" s="52">
        <f t="shared" si="150"/>
        <v>0.11814763002684193</v>
      </c>
    </row>
    <row r="286" spans="1:91" ht="15" customHeight="1">
      <c r="A286" s="65"/>
      <c r="B286" s="42">
        <f t="shared" si="151"/>
        <v>290</v>
      </c>
      <c r="C286" s="569">
        <v>0.25900000000000001</v>
      </c>
      <c r="D286" s="574" t="str">
        <f t="shared" si="152"/>
        <v/>
      </c>
      <c r="E286" s="42">
        <f t="shared" si="153"/>
        <v>288.5</v>
      </c>
      <c r="F286" s="655">
        <v>0.26600000000000001</v>
      </c>
      <c r="G286" s="36" t="str">
        <f t="shared" si="154"/>
        <v/>
      </c>
      <c r="AA286" s="50">
        <v>651.9</v>
      </c>
      <c r="AB286" s="51">
        <v>75.991</v>
      </c>
      <c r="AC286" s="52">
        <f t="shared" si="150"/>
        <v>0.11923784037432242</v>
      </c>
    </row>
    <row r="287" spans="1:91">
      <c r="A287" s="65"/>
      <c r="B287" s="42">
        <f t="shared" si="151"/>
        <v>289</v>
      </c>
      <c r="C287" s="569">
        <v>0.27300000000000002</v>
      </c>
      <c r="D287" s="574" t="str">
        <f t="shared" si="152"/>
        <v/>
      </c>
      <c r="E287" s="42">
        <f t="shared" si="153"/>
        <v>288</v>
      </c>
      <c r="F287" s="655">
        <v>0.27400000000000002</v>
      </c>
      <c r="G287" s="36" t="str">
        <f t="shared" si="154"/>
        <v/>
      </c>
      <c r="AA287" s="50">
        <v>651.79999999999995</v>
      </c>
      <c r="AB287" s="51">
        <v>75.677999999999997</v>
      </c>
      <c r="AC287" s="52">
        <f t="shared" si="150"/>
        <v>0.12103035388481988</v>
      </c>
    </row>
    <row r="288" spans="1:91">
      <c r="A288" s="59" t="s">
        <v>348</v>
      </c>
      <c r="B288" s="42">
        <f>IF(ISNUMBER($G$45),B289+$G$45,"")</f>
        <v>288</v>
      </c>
      <c r="C288" s="569">
        <v>0.26800000000000002</v>
      </c>
      <c r="D288" s="574" t="str">
        <f t="shared" si="152"/>
        <v/>
      </c>
      <c r="E288" s="42">
        <f>IF(ISNUMBER($G$45),E289+$K$45,"")</f>
        <v>287.5</v>
      </c>
      <c r="F288" s="655">
        <v>0.26300000000000001</v>
      </c>
      <c r="G288" s="36" t="str">
        <f t="shared" si="154"/>
        <v/>
      </c>
      <c r="AA288" s="50">
        <v>651.70000000000005</v>
      </c>
      <c r="AB288" s="51">
        <v>75.421999999999997</v>
      </c>
      <c r="AC288" s="52">
        <f t="shared" si="150"/>
        <v>0.12250195539039176</v>
      </c>
    </row>
    <row r="289" spans="1:91">
      <c r="A289" s="45">
        <v>287.3</v>
      </c>
      <c r="B289" s="121">
        <v>287</v>
      </c>
      <c r="C289" s="569">
        <v>0.251</v>
      </c>
      <c r="D289" s="574" t="str">
        <f>IF(C289&lt;&gt;"",IF(C289 = LARGE($C$277:$C$301,1), C289, ""), "")</f>
        <v/>
      </c>
      <c r="E289" s="121">
        <f>B289</f>
        <v>287</v>
      </c>
      <c r="F289" s="655">
        <v>0.24399999999999999</v>
      </c>
      <c r="G289" s="36" t="str">
        <f>IF(F289 &lt;&gt;"", IF(F289 = LARGE($F$277:$F$301,1), F289, ""), "")</f>
        <v/>
      </c>
      <c r="AA289" s="50">
        <v>651.6</v>
      </c>
      <c r="AB289" s="51">
        <v>75.147999999999996</v>
      </c>
      <c r="AC289" s="52">
        <f t="shared" si="150"/>
        <v>0.12408257330091982</v>
      </c>
    </row>
    <row r="290" spans="1:91">
      <c r="A290" s="65"/>
      <c r="B290" s="42">
        <f>IF(ISNUMBER($G$45),B289-$G$45,"")</f>
        <v>286</v>
      </c>
      <c r="C290" s="569">
        <v>0.224</v>
      </c>
      <c r="D290" s="574" t="str">
        <f t="shared" ref="D290:D301" si="275">IF(C290&lt;&gt;"",IF(C290 = LARGE($C$277:$C$301,1), C290, ""), "")</f>
        <v/>
      </c>
      <c r="E290" s="42">
        <f>IF(ISNUMBER($G$45),E289-$K$45,"")</f>
        <v>286.5</v>
      </c>
      <c r="F290" s="655">
        <v>0.217</v>
      </c>
      <c r="G290" s="36" t="str">
        <f t="shared" ref="G290:G301" si="276">IF(F290 &lt;&gt;"", IF(F290 = LARGE($F$277:$F$301,1), F290, ""), "")</f>
        <v/>
      </c>
      <c r="AA290" s="50">
        <v>651.5</v>
      </c>
      <c r="AB290" s="51">
        <v>74.950999999999993</v>
      </c>
      <c r="AC290" s="52">
        <f t="shared" si="150"/>
        <v>0.12522256839829418</v>
      </c>
    </row>
    <row r="291" spans="1:91">
      <c r="A291" s="65"/>
      <c r="B291" s="42">
        <f t="shared" ref="B291:B301" si="277">IF(ISNUMBER($G$45),B290-$G$45,"")</f>
        <v>285</v>
      </c>
      <c r="C291" s="572">
        <v>0.20599999999999999</v>
      </c>
      <c r="D291" s="574" t="str">
        <f t="shared" si="275"/>
        <v/>
      </c>
      <c r="E291" s="42">
        <f t="shared" ref="E291:E301" si="278">IF(ISNUMBER($G$45),E290-$K$45,"")</f>
        <v>286</v>
      </c>
      <c r="F291" s="655">
        <v>0.20399999999999999</v>
      </c>
      <c r="G291" s="36" t="str">
        <f t="shared" si="276"/>
        <v/>
      </c>
      <c r="AA291" s="50">
        <v>651.4</v>
      </c>
      <c r="AB291" s="51">
        <v>74.765000000000001</v>
      </c>
      <c r="AC291" s="52">
        <f t="shared" si="150"/>
        <v>0.12630166235208765</v>
      </c>
    </row>
    <row r="292" spans="1:91">
      <c r="A292" s="65"/>
      <c r="B292" s="42">
        <f t="shared" si="277"/>
        <v>284</v>
      </c>
      <c r="C292" s="572">
        <v>0.20399999999999999</v>
      </c>
      <c r="D292" s="574" t="str">
        <f t="shared" si="275"/>
        <v/>
      </c>
      <c r="E292" s="42">
        <f t="shared" si="278"/>
        <v>285.5</v>
      </c>
      <c r="F292" s="655">
        <v>0.20599999999999999</v>
      </c>
      <c r="G292" s="36" t="str">
        <f t="shared" si="276"/>
        <v/>
      </c>
      <c r="AA292" s="50">
        <v>651.29999999999995</v>
      </c>
      <c r="AB292" s="51">
        <v>74.548000000000002</v>
      </c>
      <c r="AC292" s="52">
        <f t="shared" si="150"/>
        <v>0.12756400346001556</v>
      </c>
    </row>
    <row r="293" spans="1:91">
      <c r="A293" s="65"/>
      <c r="B293" s="42">
        <f t="shared" si="277"/>
        <v>283</v>
      </c>
      <c r="C293" s="572">
        <v>0.222</v>
      </c>
      <c r="D293" s="574" t="str">
        <f t="shared" si="275"/>
        <v/>
      </c>
      <c r="E293" s="42">
        <f t="shared" si="278"/>
        <v>285</v>
      </c>
      <c r="F293" s="655">
        <v>0.23100000000000001</v>
      </c>
      <c r="G293" s="36" t="str">
        <f t="shared" si="276"/>
        <v/>
      </c>
      <c r="AA293" s="50">
        <v>651.20000000000005</v>
      </c>
      <c r="AB293" s="51">
        <v>74.320999999999998</v>
      </c>
      <c r="AC293" s="52">
        <f t="shared" si="150"/>
        <v>0.12888845547889072</v>
      </c>
    </row>
    <row r="294" spans="1:91">
      <c r="A294" s="65"/>
      <c r="B294" s="42">
        <f t="shared" si="277"/>
        <v>282</v>
      </c>
      <c r="C294" s="572">
        <v>0.253</v>
      </c>
      <c r="D294" s="574" t="str">
        <f t="shared" si="275"/>
        <v/>
      </c>
      <c r="E294" s="42">
        <f t="shared" si="278"/>
        <v>284.5</v>
      </c>
      <c r="F294" s="655">
        <v>0.26400000000000001</v>
      </c>
      <c r="G294" s="36" t="str">
        <f t="shared" si="276"/>
        <v/>
      </c>
      <c r="AA294" s="50">
        <v>651.1</v>
      </c>
      <c r="AB294" s="51">
        <v>74.102000000000004</v>
      </c>
      <c r="AC294" s="52">
        <f t="shared" si="150"/>
        <v>0.1301700703304941</v>
      </c>
    </row>
    <row r="295" spans="1:91">
      <c r="A295" s="590" t="s">
        <v>351</v>
      </c>
      <c r="B295" s="42">
        <f t="shared" si="277"/>
        <v>281</v>
      </c>
      <c r="C295" s="572">
        <v>0.28799999999999998</v>
      </c>
      <c r="D295" s="574">
        <f t="shared" si="275"/>
        <v>0.28799999999999998</v>
      </c>
      <c r="E295" s="42">
        <f t="shared" si="278"/>
        <v>284</v>
      </c>
      <c r="F295" s="655">
        <v>0.29699999999999999</v>
      </c>
      <c r="G295" s="36" t="str">
        <f t="shared" si="276"/>
        <v/>
      </c>
      <c r="AA295" s="50">
        <v>651</v>
      </c>
      <c r="AB295" s="51">
        <v>73.847999999999999</v>
      </c>
      <c r="AC295" s="52">
        <f t="shared" si="150"/>
        <v>0.13166126204093553</v>
      </c>
    </row>
    <row r="296" spans="1:91">
      <c r="A296" s="65"/>
      <c r="B296" s="42">
        <f t="shared" si="277"/>
        <v>280</v>
      </c>
      <c r="C296" s="572"/>
      <c r="D296" s="574" t="str">
        <f t="shared" si="275"/>
        <v/>
      </c>
      <c r="E296" s="42">
        <f t="shared" si="278"/>
        <v>283.5</v>
      </c>
      <c r="F296" s="655">
        <v>0.31900000000000001</v>
      </c>
      <c r="G296" s="36">
        <f t="shared" si="276"/>
        <v>0.31900000000000001</v>
      </c>
      <c r="AA296" s="50">
        <v>650.9</v>
      </c>
      <c r="AB296" s="51">
        <v>73.634</v>
      </c>
      <c r="AC296" s="52">
        <f t="shared" si="150"/>
        <v>0.13292160682001664</v>
      </c>
    </row>
    <row r="297" spans="1:91">
      <c r="A297" s="65"/>
      <c r="B297" s="42">
        <f t="shared" si="277"/>
        <v>279</v>
      </c>
      <c r="C297" s="572"/>
      <c r="D297" s="574" t="str">
        <f t="shared" si="275"/>
        <v/>
      </c>
      <c r="E297" s="42">
        <f t="shared" si="278"/>
        <v>283</v>
      </c>
      <c r="F297" s="655"/>
      <c r="G297" s="36" t="str">
        <f t="shared" si="276"/>
        <v/>
      </c>
      <c r="L297" s="22"/>
      <c r="AA297" s="50">
        <v>650.79999999999995</v>
      </c>
      <c r="AB297" s="51">
        <v>73.400000000000006</v>
      </c>
      <c r="AC297" s="52">
        <f t="shared" si="150"/>
        <v>0.1343039400839294</v>
      </c>
    </row>
    <row r="298" spans="1:91">
      <c r="A298" s="65"/>
      <c r="B298" s="42">
        <f t="shared" si="277"/>
        <v>278</v>
      </c>
      <c r="C298" s="572"/>
      <c r="D298" s="574" t="str">
        <f t="shared" si="275"/>
        <v/>
      </c>
      <c r="E298" s="42">
        <f t="shared" si="278"/>
        <v>282.5</v>
      </c>
      <c r="F298" s="655"/>
      <c r="G298" s="36" t="str">
        <f t="shared" si="276"/>
        <v/>
      </c>
      <c r="L298" s="22"/>
      <c r="AA298" s="50">
        <v>650.70000000000005</v>
      </c>
      <c r="AB298" s="51">
        <v>73.119</v>
      </c>
      <c r="AC298" s="52">
        <f t="shared" si="150"/>
        <v>0.13596975679079595</v>
      </c>
    </row>
    <row r="299" spans="1:91">
      <c r="A299" s="65"/>
      <c r="B299" s="42">
        <f t="shared" si="277"/>
        <v>277</v>
      </c>
      <c r="C299" s="572"/>
      <c r="D299" s="574" t="str">
        <f t="shared" si="275"/>
        <v/>
      </c>
      <c r="E299" s="42">
        <f t="shared" si="278"/>
        <v>282</v>
      </c>
      <c r="F299" s="655"/>
      <c r="G299" s="36" t="str">
        <f t="shared" si="276"/>
        <v/>
      </c>
      <c r="AA299" s="50">
        <v>650.6</v>
      </c>
      <c r="AB299" s="51">
        <v>72.861999999999995</v>
      </c>
      <c r="AC299" s="52">
        <f t="shared" si="150"/>
        <v>0.13749891191591623</v>
      </c>
    </row>
    <row r="300" spans="1:91" ht="14.25" customHeight="1">
      <c r="A300" s="65"/>
      <c r="B300" s="42">
        <f t="shared" si="277"/>
        <v>276</v>
      </c>
      <c r="C300" s="572"/>
      <c r="D300" s="574" t="str">
        <f t="shared" si="275"/>
        <v/>
      </c>
      <c r="E300" s="42">
        <f t="shared" si="278"/>
        <v>281.5</v>
      </c>
      <c r="F300" s="655"/>
      <c r="G300" s="36" t="str">
        <f t="shared" si="276"/>
        <v/>
      </c>
      <c r="AA300" s="50">
        <v>650.5</v>
      </c>
      <c r="AB300" s="51">
        <v>72.632000000000005</v>
      </c>
      <c r="AC300" s="52">
        <f t="shared" si="150"/>
        <v>0.13887199690971946</v>
      </c>
    </row>
    <row r="301" spans="1:91" ht="15.75" thickBot="1">
      <c r="A301" s="66"/>
      <c r="B301" s="47">
        <f t="shared" si="277"/>
        <v>275</v>
      </c>
      <c r="C301" s="570"/>
      <c r="D301" s="575" t="str">
        <f t="shared" si="275"/>
        <v/>
      </c>
      <c r="E301" s="47">
        <f t="shared" si="278"/>
        <v>281</v>
      </c>
      <c r="F301" s="661"/>
      <c r="G301" s="571" t="str">
        <f t="shared" si="276"/>
        <v/>
      </c>
      <c r="AA301" s="50">
        <v>650.4</v>
      </c>
      <c r="AB301" s="51">
        <v>72.42</v>
      </c>
      <c r="AC301" s="52">
        <f t="shared" si="150"/>
        <v>0.1401414795190071</v>
      </c>
    </row>
    <row r="302" spans="1:91" ht="15.75" thickTop="1">
      <c r="A302" s="65"/>
      <c r="B302" s="42">
        <f t="shared" ref="B302:B312" si="279">IF(ISNUMBER($G$45),B303+$G$45,"")</f>
        <v>291</v>
      </c>
      <c r="C302" s="567"/>
      <c r="D302" s="574" t="str">
        <f t="shared" ref="D302:D313" si="280">IF(C302&lt;&gt;"",IF(C302 = LARGE($C$302:$C$326,1), C302, ""), "")</f>
        <v/>
      </c>
      <c r="E302" s="42">
        <f t="shared" ref="E302:E312" si="281">IF(ISNUMBER($G$45),E303+$K$45,"")</f>
        <v>285</v>
      </c>
      <c r="F302" s="660"/>
      <c r="G302" s="36" t="str">
        <f t="shared" ref="G302:G313" si="282">IF(F302 &lt;&gt;"", IF(F302 = LARGE($F$302:$F$326,1), F302, ""), "")</f>
        <v/>
      </c>
      <c r="L302" s="36"/>
      <c r="AA302" s="50">
        <v>650.29999999999995</v>
      </c>
      <c r="AB302" s="51">
        <v>72.162999999999997</v>
      </c>
      <c r="AC302" s="52">
        <f t="shared" si="150"/>
        <v>0.14168542036130261</v>
      </c>
    </row>
    <row r="303" spans="1:91" ht="15.75" thickBot="1">
      <c r="A303" s="65"/>
      <c r="B303" s="42">
        <f t="shared" si="279"/>
        <v>290</v>
      </c>
      <c r="C303" s="568"/>
      <c r="D303" s="574" t="str">
        <f t="shared" si="280"/>
        <v/>
      </c>
      <c r="E303" s="42">
        <f t="shared" si="281"/>
        <v>284.5</v>
      </c>
      <c r="F303" s="655"/>
      <c r="G303" s="36" t="str">
        <f t="shared" si="282"/>
        <v/>
      </c>
      <c r="L303" s="36"/>
      <c r="U303" s="589" t="s">
        <v>349</v>
      </c>
      <c r="AA303" s="50">
        <v>650.20000000000005</v>
      </c>
      <c r="AB303" s="51">
        <v>72.007999999999996</v>
      </c>
      <c r="AC303" s="52">
        <f t="shared" si="150"/>
        <v>0.14261925130692946</v>
      </c>
    </row>
    <row r="304" spans="1:91">
      <c r="A304" s="65"/>
      <c r="B304" s="42">
        <f t="shared" si="279"/>
        <v>289</v>
      </c>
      <c r="C304" s="568"/>
      <c r="D304" s="574" t="str">
        <f t="shared" si="280"/>
        <v/>
      </c>
      <c r="E304" s="42">
        <f t="shared" si="281"/>
        <v>284</v>
      </c>
      <c r="F304" s="655"/>
      <c r="G304" s="36" t="str">
        <f t="shared" si="282"/>
        <v/>
      </c>
      <c r="U304" s="103" t="s">
        <v>88</v>
      </c>
      <c r="V304" s="104" t="s">
        <v>89</v>
      </c>
      <c r="W304" s="105" t="s">
        <v>90</v>
      </c>
      <c r="X304" s="104" t="s">
        <v>91</v>
      </c>
      <c r="Y304" s="106" t="s">
        <v>96</v>
      </c>
      <c r="AA304" s="50">
        <v>650.1</v>
      </c>
      <c r="AB304" s="51">
        <v>71.814999999999998</v>
      </c>
      <c r="AC304" s="52">
        <f t="shared" si="150"/>
        <v>0.14378483518878646</v>
      </c>
      <c r="AD304" s="746" t="s">
        <v>95</v>
      </c>
      <c r="AE304" s="50">
        <v>273.5</v>
      </c>
      <c r="AF304" s="50">
        <f t="shared" ref="AF304" si="283">AE304+0.2</f>
        <v>273.7</v>
      </c>
      <c r="AG304" s="50">
        <f t="shared" ref="AG304" si="284">AF304+0.2</f>
        <v>273.89999999999998</v>
      </c>
      <c r="AH304" s="50">
        <f t="shared" ref="AH304" si="285">AG304+0.2</f>
        <v>274.09999999999997</v>
      </c>
      <c r="AI304" s="50">
        <f t="shared" ref="AI304" si="286">AH304+0.2</f>
        <v>274.29999999999995</v>
      </c>
      <c r="AJ304" s="50">
        <f t="shared" ref="AJ304" si="287">AI304+0.2</f>
        <v>274.49999999999994</v>
      </c>
      <c r="AK304" s="50">
        <f t="shared" ref="AK304" si="288">AJ304+0.2</f>
        <v>274.69999999999993</v>
      </c>
      <c r="AL304" s="50">
        <f t="shared" ref="AL304" si="289">AK304+0.2</f>
        <v>274.89999999999992</v>
      </c>
      <c r="AM304" s="50">
        <f t="shared" ref="AM304" si="290">AL304+0.2</f>
        <v>275.09999999999991</v>
      </c>
      <c r="AN304" s="50">
        <f t="shared" ref="AN304" si="291">AM304+0.2</f>
        <v>275.2999999999999</v>
      </c>
      <c r="AO304" s="50">
        <f t="shared" ref="AO304" si="292">AN304+0.2</f>
        <v>275.49999999999989</v>
      </c>
      <c r="AP304" s="50">
        <f t="shared" ref="AP304" si="293">AO304+0.2</f>
        <v>275.69999999999987</v>
      </c>
      <c r="AQ304" s="50">
        <f t="shared" ref="AQ304" si="294">AP304+0.2</f>
        <v>275.89999999999986</v>
      </c>
      <c r="AR304" s="50">
        <f t="shared" ref="AR304" si="295">AQ304+0.2</f>
        <v>276.09999999999985</v>
      </c>
      <c r="AS304" s="50">
        <f t="shared" ref="AS304" si="296">AR304+0.2</f>
        <v>276.29999999999984</v>
      </c>
      <c r="AT304" s="50">
        <f t="shared" ref="AT304" si="297">AS304+0.2</f>
        <v>276.49999999999983</v>
      </c>
      <c r="AU304" s="50">
        <f t="shared" ref="AU304" si="298">AT304+0.2</f>
        <v>276.69999999999982</v>
      </c>
      <c r="AV304" s="50">
        <f t="shared" ref="AV304" si="299">AU304+0.2</f>
        <v>276.89999999999981</v>
      </c>
      <c r="AW304" s="50">
        <f t="shared" ref="AW304" si="300">AV304+0.2</f>
        <v>277.0999999999998</v>
      </c>
      <c r="AX304" s="50">
        <f t="shared" ref="AX304" si="301">AW304+0.2</f>
        <v>277.29999999999978</v>
      </c>
      <c r="AY304" s="50">
        <f t="shared" ref="AY304" si="302">AX304+0.2</f>
        <v>277.49999999999977</v>
      </c>
      <c r="AZ304" s="50">
        <f t="shared" ref="AZ304" si="303">AY304+0.2</f>
        <v>277.69999999999976</v>
      </c>
      <c r="BA304" s="50">
        <f t="shared" ref="BA304" si="304">AZ304+0.2</f>
        <v>277.89999999999975</v>
      </c>
      <c r="BB304" s="50">
        <f t="shared" ref="BB304" si="305">BA304+0.2</f>
        <v>278.09999999999974</v>
      </c>
      <c r="BC304" s="50">
        <f t="shared" ref="BC304" si="306">BB304+0.2</f>
        <v>278.29999999999973</v>
      </c>
      <c r="BD304" s="50">
        <f t="shared" ref="BD304" si="307">BC304+0.2</f>
        <v>278.49999999999972</v>
      </c>
      <c r="BE304" s="50">
        <f t="shared" ref="BE304" si="308">BD304+0.2</f>
        <v>278.6999999999997</v>
      </c>
      <c r="BF304" s="50">
        <f t="shared" ref="BF304" si="309">BE304+0.2</f>
        <v>278.89999999999969</v>
      </c>
      <c r="BG304" s="50">
        <f t="shared" ref="BG304" si="310">BF304+0.2</f>
        <v>279.09999999999968</v>
      </c>
      <c r="BH304" s="50">
        <f t="shared" ref="BH304" si="311">BG304+0.2</f>
        <v>279.29999999999967</v>
      </c>
      <c r="BI304" s="50">
        <f t="shared" ref="BI304" si="312">BH304+0.2</f>
        <v>279.49999999999966</v>
      </c>
      <c r="BJ304" s="50">
        <f t="shared" ref="BJ304" si="313">BI304+0.2</f>
        <v>279.69999999999965</v>
      </c>
      <c r="BK304" s="50">
        <f t="shared" ref="BK304" si="314">BJ304+0.2</f>
        <v>279.89999999999964</v>
      </c>
      <c r="BL304" s="50">
        <f t="shared" ref="BL304" si="315">BK304+0.2</f>
        <v>280.09999999999962</v>
      </c>
      <c r="BM304" s="50">
        <f t="shared" ref="BM304" si="316">BL304+0.2</f>
        <v>280.29999999999961</v>
      </c>
      <c r="BN304" s="50">
        <f t="shared" ref="BN304" si="317">BM304+0.2</f>
        <v>280.4999999999996</v>
      </c>
      <c r="BO304" s="50">
        <f t="shared" ref="BO304" si="318">BN304+0.2</f>
        <v>280.69999999999959</v>
      </c>
      <c r="BP304" s="50">
        <f t="shared" ref="BP304" si="319">BO304+0.2</f>
        <v>280.89999999999958</v>
      </c>
      <c r="BQ304" s="50">
        <f t="shared" ref="BQ304" si="320">BP304+0.2</f>
        <v>281.09999999999957</v>
      </c>
      <c r="BR304" s="50">
        <f t="shared" ref="BR304" si="321">BQ304+0.2</f>
        <v>281.29999999999956</v>
      </c>
      <c r="BS304" s="50">
        <f t="shared" ref="BS304" si="322">BR304+0.2</f>
        <v>281.49999999999955</v>
      </c>
      <c r="BT304" s="50">
        <f t="shared" ref="BT304" si="323">BS304+0.2</f>
        <v>281.69999999999953</v>
      </c>
      <c r="BU304" s="50">
        <f t="shared" ref="BU304" si="324">BT304+0.2</f>
        <v>281.89999999999952</v>
      </c>
      <c r="BV304" s="50">
        <f t="shared" ref="BV304" si="325">BU304+0.2</f>
        <v>282.09999999999951</v>
      </c>
      <c r="BW304" s="50">
        <f t="shared" ref="BW304" si="326">BV304+0.2</f>
        <v>282.2999999999995</v>
      </c>
      <c r="BX304" s="50">
        <f t="shared" ref="BX304" si="327">BW304+0.2</f>
        <v>282.49999999999949</v>
      </c>
      <c r="BY304" s="50">
        <f t="shared" ref="BY304" si="328">BX304+0.2</f>
        <v>282.69999999999948</v>
      </c>
      <c r="BZ304" s="50">
        <f t="shared" ref="BZ304" si="329">BY304+0.2</f>
        <v>282.89999999999947</v>
      </c>
      <c r="CA304" s="50">
        <f t="shared" ref="CA304" si="330">BZ304+0.2</f>
        <v>283.09999999999945</v>
      </c>
      <c r="CB304" s="50">
        <f t="shared" ref="CB304" si="331">CA304+0.2</f>
        <v>283.29999999999944</v>
      </c>
      <c r="CC304" s="50">
        <f t="shared" ref="CC304" si="332">CB304+0.2</f>
        <v>283.49999999999943</v>
      </c>
      <c r="CD304" s="50">
        <f t="shared" ref="CD304" si="333">CC304+0.2</f>
        <v>283.69999999999942</v>
      </c>
      <c r="CE304" s="50">
        <f t="shared" ref="CE304" si="334">CD304+0.2</f>
        <v>283.89999999999941</v>
      </c>
      <c r="CF304" s="50">
        <f t="shared" ref="CF304" si="335">CE304+0.2</f>
        <v>284.0999999999994</v>
      </c>
      <c r="CG304" s="50">
        <f t="shared" ref="CG304" si="336">CF304+0.2</f>
        <v>284.29999999999939</v>
      </c>
      <c r="CH304" s="50">
        <f t="shared" ref="CH304" si="337">CG304+0.2</f>
        <v>284.49999999999937</v>
      </c>
      <c r="CI304" s="50">
        <f t="shared" ref="CI304" si="338">CH304+0.2</f>
        <v>284.69999999999936</v>
      </c>
      <c r="CJ304" s="50">
        <f t="shared" ref="CJ304" si="339">CI304+0.2</f>
        <v>284.89999999999935</v>
      </c>
      <c r="CK304" s="50">
        <f t="shared" ref="CK304" si="340">CJ304+0.2</f>
        <v>285.09999999999934</v>
      </c>
      <c r="CL304" s="50">
        <f t="shared" ref="CL304" si="341">CK304+0.2</f>
        <v>285.29999999999933</v>
      </c>
      <c r="CM304" s="50">
        <f t="shared" ref="CM304" si="342">CL304+0.2</f>
        <v>285.49999999999932</v>
      </c>
    </row>
    <row r="305" spans="1:91" ht="15.75" thickBot="1">
      <c r="A305" s="65"/>
      <c r="B305" s="42">
        <f t="shared" si="279"/>
        <v>288</v>
      </c>
      <c r="C305" s="572"/>
      <c r="D305" s="574" t="str">
        <f t="shared" si="280"/>
        <v/>
      </c>
      <c r="E305" s="42">
        <f t="shared" si="281"/>
        <v>283.5</v>
      </c>
      <c r="F305" s="655"/>
      <c r="G305" s="36" t="str">
        <f t="shared" si="282"/>
        <v/>
      </c>
      <c r="U305" s="114">
        <v>277</v>
      </c>
      <c r="V305" s="116">
        <v>0.29849999999999999</v>
      </c>
      <c r="W305" s="115">
        <v>279.3</v>
      </c>
      <c r="X305" s="116">
        <v>0.52080000000000004</v>
      </c>
      <c r="Y305" s="107">
        <f>(V305 + X305)/2</f>
        <v>0.40965000000000001</v>
      </c>
      <c r="AA305" s="50">
        <v>650</v>
      </c>
      <c r="AB305" s="51">
        <v>71.668999999999997</v>
      </c>
      <c r="AC305" s="52">
        <f t="shared" si="150"/>
        <v>0.14466865521389424</v>
      </c>
      <c r="AD305" s="746"/>
      <c r="AE305" s="52">
        <f>$Y305</f>
        <v>0.40965000000000001</v>
      </c>
      <c r="AF305" s="52">
        <f t="shared" ref="AF305" si="343">AE305</f>
        <v>0.40965000000000001</v>
      </c>
      <c r="AG305" s="52">
        <f t="shared" ref="AG305" si="344">AF305</f>
        <v>0.40965000000000001</v>
      </c>
      <c r="AH305" s="52">
        <f t="shared" ref="AH305" si="345">AG305</f>
        <v>0.40965000000000001</v>
      </c>
      <c r="AI305" s="52">
        <f t="shared" ref="AI305" si="346">AH305</f>
        <v>0.40965000000000001</v>
      </c>
      <c r="AJ305" s="52">
        <f t="shared" ref="AJ305" si="347">AI305</f>
        <v>0.40965000000000001</v>
      </c>
      <c r="AK305" s="52">
        <f t="shared" ref="AK305" si="348">AJ305</f>
        <v>0.40965000000000001</v>
      </c>
      <c r="AL305" s="52">
        <f t="shared" ref="AL305" si="349">AK305</f>
        <v>0.40965000000000001</v>
      </c>
      <c r="AM305" s="52">
        <f t="shared" ref="AM305" si="350">AL305</f>
        <v>0.40965000000000001</v>
      </c>
      <c r="AN305" s="52">
        <f t="shared" ref="AN305" si="351">AM305</f>
        <v>0.40965000000000001</v>
      </c>
      <c r="AO305" s="52">
        <f t="shared" ref="AO305" si="352">AN305</f>
        <v>0.40965000000000001</v>
      </c>
      <c r="AP305" s="52">
        <f t="shared" ref="AP305" si="353">AO305</f>
        <v>0.40965000000000001</v>
      </c>
      <c r="AQ305" s="52">
        <f t="shared" ref="AQ305" si="354">AP305</f>
        <v>0.40965000000000001</v>
      </c>
      <c r="AR305" s="52">
        <f t="shared" ref="AR305" si="355">AQ305</f>
        <v>0.40965000000000001</v>
      </c>
      <c r="AS305" s="52">
        <f t="shared" ref="AS305" si="356">AR305</f>
        <v>0.40965000000000001</v>
      </c>
      <c r="AT305" s="52">
        <f t="shared" ref="AT305" si="357">AS305</f>
        <v>0.40965000000000001</v>
      </c>
      <c r="AU305" s="52">
        <f t="shared" ref="AU305" si="358">AT305</f>
        <v>0.40965000000000001</v>
      </c>
      <c r="AV305" s="52">
        <f t="shared" ref="AV305" si="359">AU305</f>
        <v>0.40965000000000001</v>
      </c>
      <c r="AW305" s="52">
        <f t="shared" ref="AW305" si="360">AV305</f>
        <v>0.40965000000000001</v>
      </c>
      <c r="AX305" s="52">
        <f t="shared" ref="AX305" si="361">AW305</f>
        <v>0.40965000000000001</v>
      </c>
      <c r="AY305" s="52">
        <f t="shared" ref="AY305" si="362">AX305</f>
        <v>0.40965000000000001</v>
      </c>
      <c r="AZ305" s="52">
        <f t="shared" ref="AZ305" si="363">AY305</f>
        <v>0.40965000000000001</v>
      </c>
      <c r="BA305" s="52">
        <f t="shared" ref="BA305" si="364">AZ305</f>
        <v>0.40965000000000001</v>
      </c>
      <c r="BB305" s="52">
        <f t="shared" ref="BB305" si="365">BA305</f>
        <v>0.40965000000000001</v>
      </c>
      <c r="BC305" s="52">
        <f t="shared" ref="BC305" si="366">BB305</f>
        <v>0.40965000000000001</v>
      </c>
      <c r="BD305" s="52">
        <f t="shared" ref="BD305" si="367">BC305</f>
        <v>0.40965000000000001</v>
      </c>
      <c r="BE305" s="52">
        <f t="shared" ref="BE305" si="368">BD305</f>
        <v>0.40965000000000001</v>
      </c>
      <c r="BF305" s="52">
        <f t="shared" ref="BF305" si="369">BE305</f>
        <v>0.40965000000000001</v>
      </c>
      <c r="BG305" s="52">
        <f t="shared" ref="BG305" si="370">BF305</f>
        <v>0.40965000000000001</v>
      </c>
      <c r="BH305" s="52">
        <f t="shared" ref="BH305" si="371">BG305</f>
        <v>0.40965000000000001</v>
      </c>
      <c r="BI305" s="52">
        <f t="shared" ref="BI305" si="372">BH305</f>
        <v>0.40965000000000001</v>
      </c>
      <c r="BJ305" s="52">
        <f t="shared" ref="BJ305" si="373">BI305</f>
        <v>0.40965000000000001</v>
      </c>
      <c r="BK305" s="52">
        <f t="shared" ref="BK305" si="374">BJ305</f>
        <v>0.40965000000000001</v>
      </c>
      <c r="BL305" s="52">
        <f t="shared" ref="BL305" si="375">BK305</f>
        <v>0.40965000000000001</v>
      </c>
      <c r="BM305" s="52">
        <f t="shared" ref="BM305" si="376">BL305</f>
        <v>0.40965000000000001</v>
      </c>
      <c r="BN305" s="52">
        <f t="shared" ref="BN305" si="377">BM305</f>
        <v>0.40965000000000001</v>
      </c>
      <c r="BO305" s="52">
        <f t="shared" ref="BO305" si="378">BN305</f>
        <v>0.40965000000000001</v>
      </c>
      <c r="BP305" s="52">
        <f t="shared" ref="BP305" si="379">BO305</f>
        <v>0.40965000000000001</v>
      </c>
      <c r="BQ305" s="52">
        <f t="shared" ref="BQ305" si="380">BP305</f>
        <v>0.40965000000000001</v>
      </c>
      <c r="BR305" s="52">
        <f t="shared" ref="BR305" si="381">BQ305</f>
        <v>0.40965000000000001</v>
      </c>
      <c r="BS305" s="52">
        <f t="shared" ref="BS305" si="382">BR305</f>
        <v>0.40965000000000001</v>
      </c>
      <c r="BT305" s="52">
        <f t="shared" ref="BT305" si="383">BS305</f>
        <v>0.40965000000000001</v>
      </c>
      <c r="BU305" s="52">
        <f t="shared" ref="BU305" si="384">BT305</f>
        <v>0.40965000000000001</v>
      </c>
      <c r="BV305" s="52">
        <f t="shared" ref="BV305" si="385">BU305</f>
        <v>0.40965000000000001</v>
      </c>
      <c r="BW305" s="52">
        <f t="shared" ref="BW305" si="386">BV305</f>
        <v>0.40965000000000001</v>
      </c>
      <c r="BX305" s="52">
        <f t="shared" ref="BX305" si="387">BW305</f>
        <v>0.40965000000000001</v>
      </c>
      <c r="BY305" s="52">
        <f t="shared" ref="BY305" si="388">BX305</f>
        <v>0.40965000000000001</v>
      </c>
      <c r="BZ305" s="52">
        <f t="shared" ref="BZ305" si="389">BY305</f>
        <v>0.40965000000000001</v>
      </c>
      <c r="CA305" s="52">
        <f t="shared" ref="CA305" si="390">BZ305</f>
        <v>0.40965000000000001</v>
      </c>
      <c r="CB305" s="52">
        <f t="shared" ref="CB305" si="391">CA305</f>
        <v>0.40965000000000001</v>
      </c>
      <c r="CC305" s="52">
        <f t="shared" ref="CC305" si="392">CB305</f>
        <v>0.40965000000000001</v>
      </c>
      <c r="CD305" s="52">
        <f t="shared" ref="CD305" si="393">CC305</f>
        <v>0.40965000000000001</v>
      </c>
      <c r="CE305" s="52">
        <f t="shared" ref="CE305" si="394">CD305</f>
        <v>0.40965000000000001</v>
      </c>
      <c r="CF305" s="52">
        <f t="shared" ref="CF305" si="395">CE305</f>
        <v>0.40965000000000001</v>
      </c>
      <c r="CG305" s="52">
        <f t="shared" ref="CG305" si="396">CF305</f>
        <v>0.40965000000000001</v>
      </c>
      <c r="CH305" s="52">
        <f t="shared" ref="CH305" si="397">CG305</f>
        <v>0.40965000000000001</v>
      </c>
      <c r="CI305" s="52">
        <f t="shared" ref="CI305" si="398">CH305</f>
        <v>0.40965000000000001</v>
      </c>
      <c r="CJ305" s="52">
        <f t="shared" ref="CJ305" si="399">CI305</f>
        <v>0.40965000000000001</v>
      </c>
      <c r="CK305" s="52">
        <f t="shared" ref="CK305" si="400">CJ305</f>
        <v>0.40965000000000001</v>
      </c>
      <c r="CL305" s="52">
        <f t="shared" ref="CL305" si="401">CK305</f>
        <v>0.40965000000000001</v>
      </c>
      <c r="CM305" s="52">
        <f t="shared" ref="CM305" si="402">CL305</f>
        <v>0.40965000000000001</v>
      </c>
    </row>
    <row r="306" spans="1:91" ht="18.75">
      <c r="A306" s="46"/>
      <c r="B306" s="42">
        <f t="shared" si="279"/>
        <v>287</v>
      </c>
      <c r="C306" s="569"/>
      <c r="D306" s="574" t="str">
        <f t="shared" si="280"/>
        <v/>
      </c>
      <c r="E306" s="42">
        <f t="shared" si="281"/>
        <v>283</v>
      </c>
      <c r="F306" s="655"/>
      <c r="G306" s="36" t="str">
        <f t="shared" si="282"/>
        <v/>
      </c>
      <c r="AA306" s="50">
        <v>649.9</v>
      </c>
      <c r="AB306" s="51">
        <v>71.47</v>
      </c>
      <c r="AC306" s="52">
        <f t="shared" si="150"/>
        <v>0.14587621789883293</v>
      </c>
    </row>
    <row r="307" spans="1:91" ht="19.5" thickBot="1">
      <c r="A307" s="46"/>
      <c r="B307" s="42">
        <f t="shared" si="279"/>
        <v>286</v>
      </c>
      <c r="C307" s="569"/>
      <c r="D307" s="574" t="str">
        <f t="shared" si="280"/>
        <v/>
      </c>
      <c r="E307" s="42">
        <f t="shared" si="281"/>
        <v>282.5</v>
      </c>
      <c r="F307" s="655"/>
      <c r="G307" s="36" t="str">
        <f t="shared" si="282"/>
        <v/>
      </c>
      <c r="AA307" s="50">
        <v>649.79999999999995</v>
      </c>
      <c r="AB307" s="51">
        <v>71.322999999999993</v>
      </c>
      <c r="AC307" s="52">
        <f t="shared" si="150"/>
        <v>0.14677039774508077</v>
      </c>
    </row>
    <row r="308" spans="1:91">
      <c r="A308" s="590" t="s">
        <v>352</v>
      </c>
      <c r="B308" s="42">
        <f t="shared" si="279"/>
        <v>285</v>
      </c>
      <c r="C308" s="569">
        <v>0.20599999999999999</v>
      </c>
      <c r="D308" s="574" t="str">
        <f t="shared" si="280"/>
        <v/>
      </c>
      <c r="E308" s="42">
        <f t="shared" si="281"/>
        <v>282</v>
      </c>
      <c r="F308" s="655">
        <v>0.20399999999999999</v>
      </c>
      <c r="G308" s="36" t="str">
        <f t="shared" si="282"/>
        <v/>
      </c>
      <c r="U308" s="95" t="s">
        <v>87</v>
      </c>
      <c r="V308" s="96">
        <f>X309 - X308</f>
        <v>1.6000000000000227</v>
      </c>
      <c r="W308" s="97" t="s">
        <v>92</v>
      </c>
      <c r="X308" s="117">
        <v>278.5</v>
      </c>
      <c r="Y308" s="98" t="s">
        <v>53</v>
      </c>
      <c r="AA308" s="50">
        <v>649.70000000000005</v>
      </c>
      <c r="AB308" s="51">
        <v>71.153999999999996</v>
      </c>
      <c r="AC308" s="52">
        <f t="shared" si="150"/>
        <v>0.14780068055372333</v>
      </c>
    </row>
    <row r="309" spans="1:91" ht="15.75" thickBot="1">
      <c r="A309" s="65"/>
      <c r="B309" s="42">
        <f t="shared" si="279"/>
        <v>284</v>
      </c>
      <c r="C309" s="569">
        <v>0.20399999999999999</v>
      </c>
      <c r="D309" s="574" t="str">
        <f t="shared" si="280"/>
        <v/>
      </c>
      <c r="E309" s="42">
        <f t="shared" si="281"/>
        <v>281.5</v>
      </c>
      <c r="F309" s="655">
        <v>0.20599999999999999</v>
      </c>
      <c r="G309" s="36" t="str">
        <f t="shared" si="282"/>
        <v/>
      </c>
      <c r="U309" s="99" t="s">
        <v>93</v>
      </c>
      <c r="V309" s="100">
        <f>X305 - Y305</f>
        <v>0.11115000000000003</v>
      </c>
      <c r="W309" s="101" t="s">
        <v>94</v>
      </c>
      <c r="X309" s="118">
        <v>280.10000000000002</v>
      </c>
      <c r="Y309" s="102" t="s">
        <v>53</v>
      </c>
      <c r="AA309" s="50">
        <v>649.6</v>
      </c>
      <c r="AB309" s="51">
        <v>71.027000000000001</v>
      </c>
      <c r="AC309" s="52">
        <f t="shared" si="150"/>
        <v>0.14857652843593547</v>
      </c>
    </row>
    <row r="310" spans="1:91">
      <c r="A310" s="65"/>
      <c r="B310" s="42">
        <f t="shared" si="279"/>
        <v>283</v>
      </c>
      <c r="C310" s="569">
        <v>0.222</v>
      </c>
      <c r="D310" s="574" t="str">
        <f t="shared" si="280"/>
        <v/>
      </c>
      <c r="E310" s="42">
        <f t="shared" si="281"/>
        <v>281</v>
      </c>
      <c r="F310" s="655">
        <v>0.23100000000000001</v>
      </c>
      <c r="G310" s="36" t="str">
        <f t="shared" si="282"/>
        <v/>
      </c>
      <c r="AA310" s="50">
        <v>649.5</v>
      </c>
      <c r="AB310" s="51">
        <v>70.900000000000006</v>
      </c>
      <c r="AC310" s="52">
        <f t="shared" si="150"/>
        <v>0.14935376481693341</v>
      </c>
    </row>
    <row r="311" spans="1:91">
      <c r="A311" s="65"/>
      <c r="B311" s="42">
        <f t="shared" si="279"/>
        <v>282</v>
      </c>
      <c r="C311" s="569">
        <v>0.253</v>
      </c>
      <c r="D311" s="574" t="str">
        <f t="shared" si="280"/>
        <v/>
      </c>
      <c r="E311" s="42">
        <f t="shared" si="281"/>
        <v>280.5</v>
      </c>
      <c r="F311" s="655">
        <v>0.26400000000000001</v>
      </c>
      <c r="G311" s="36" t="str">
        <f t="shared" si="282"/>
        <v/>
      </c>
      <c r="AA311" s="50">
        <v>649.4</v>
      </c>
      <c r="AB311" s="51">
        <v>70.811999999999998</v>
      </c>
      <c r="AC311" s="52">
        <f t="shared" si="150"/>
        <v>0.14989313931337603</v>
      </c>
    </row>
    <row r="312" spans="1:91">
      <c r="A312" s="65"/>
      <c r="B312" s="42">
        <f t="shared" si="279"/>
        <v>281</v>
      </c>
      <c r="C312" s="569">
        <v>0.28799999999999998</v>
      </c>
      <c r="D312" s="574" t="str">
        <f t="shared" si="280"/>
        <v/>
      </c>
      <c r="E312" s="42">
        <f t="shared" si="281"/>
        <v>280</v>
      </c>
      <c r="F312" s="655">
        <v>0.29699999999999999</v>
      </c>
      <c r="G312" s="36" t="str">
        <f t="shared" si="282"/>
        <v/>
      </c>
      <c r="AA312" s="50">
        <v>649.29999999999995</v>
      </c>
      <c r="AB312" s="51">
        <v>70.731999999999999</v>
      </c>
      <c r="AC312" s="52">
        <f t="shared" si="150"/>
        <v>0.15038406174388275</v>
      </c>
    </row>
    <row r="313" spans="1:91">
      <c r="A313" s="59" t="s">
        <v>349</v>
      </c>
      <c r="B313" s="42">
        <f>IF(ISNUMBER($G$45),B314+$G$45,"")</f>
        <v>280</v>
      </c>
      <c r="C313" s="569">
        <v>0.315</v>
      </c>
      <c r="D313" s="574" t="str">
        <f t="shared" si="280"/>
        <v/>
      </c>
      <c r="E313" s="42">
        <f>IF(ISNUMBER($G$45),E314+$K$45,"")</f>
        <v>279.5</v>
      </c>
      <c r="F313" s="655">
        <v>0.31900000000000001</v>
      </c>
      <c r="G313" s="36">
        <f t="shared" si="282"/>
        <v>0.31900000000000001</v>
      </c>
      <c r="AA313" s="50">
        <v>649.20000000000005</v>
      </c>
      <c r="AB313" s="51">
        <v>70.635000000000005</v>
      </c>
      <c r="AC313" s="52">
        <f t="shared" si="150"/>
        <v>0.15098005050159624</v>
      </c>
    </row>
    <row r="314" spans="1:91">
      <c r="A314" s="45">
        <v>279.3</v>
      </c>
      <c r="B314" s="121">
        <v>279</v>
      </c>
      <c r="C314" s="569">
        <v>0.32</v>
      </c>
      <c r="D314" s="574">
        <f>IF(C314&lt;&gt;"",IF(C314 = LARGE($C$302:$C$326,1), C314, ""), "")</f>
        <v>0.32</v>
      </c>
      <c r="E314" s="121">
        <f>B314</f>
        <v>279</v>
      </c>
      <c r="F314" s="655">
        <v>0.31900000000000001</v>
      </c>
      <c r="G314" s="36">
        <f>IF(F314 &lt;&gt;"", IF(F314 = LARGE($F$302:$F$326,1), F314, ""), "")</f>
        <v>0.31900000000000001</v>
      </c>
      <c r="AA314" s="50">
        <v>649.1</v>
      </c>
      <c r="AB314" s="51">
        <v>70.677999999999997</v>
      </c>
      <c r="AC314" s="52">
        <f t="shared" si="150"/>
        <v>0.15071574837372109</v>
      </c>
    </row>
    <row r="315" spans="1:91">
      <c r="A315" s="65"/>
      <c r="B315" s="42">
        <f>IF(ISNUMBER($G$45),B314-$G$45,"")</f>
        <v>278</v>
      </c>
      <c r="C315" s="569">
        <v>0.31</v>
      </c>
      <c r="D315" s="574" t="str">
        <f t="shared" ref="D315:D326" si="403">IF(C315&lt;&gt;"",IF(C315 = LARGE($C$302:$C$326,1), C315, ""), "")</f>
        <v/>
      </c>
      <c r="E315" s="42">
        <f>IF(ISNUMBER($G$45),E314-$K$45,"")</f>
        <v>278.5</v>
      </c>
      <c r="F315" s="655">
        <v>0.30599999999999999</v>
      </c>
      <c r="G315" s="36" t="str">
        <f t="shared" ref="G315:G326" si="404">IF(F315 &lt;&gt;"", IF(F315 = LARGE($F$302:$F$326,1), F315, ""), "")</f>
        <v/>
      </c>
      <c r="AA315" s="50">
        <v>649</v>
      </c>
      <c r="AB315" s="51">
        <v>70.653000000000006</v>
      </c>
      <c r="AC315" s="52">
        <f t="shared" si="150"/>
        <v>0.15086939282767414</v>
      </c>
    </row>
    <row r="316" spans="1:91">
      <c r="A316" s="65"/>
      <c r="B316" s="42">
        <f t="shared" ref="B316:B326" si="405">IF(ISNUMBER($G$45),B315-$G$45,"")</f>
        <v>277</v>
      </c>
      <c r="C316" s="572">
        <v>0.29299999999999998</v>
      </c>
      <c r="D316" s="574" t="str">
        <f t="shared" si="403"/>
        <v/>
      </c>
      <c r="E316" s="42">
        <f t="shared" ref="E316:E326" si="406">IF(ISNUMBER($G$45),E315-$K$45,"")</f>
        <v>278</v>
      </c>
      <c r="F316" s="655">
        <v>0.28899999999999998</v>
      </c>
      <c r="G316" s="36" t="str">
        <f t="shared" si="404"/>
        <v/>
      </c>
      <c r="AA316" s="50">
        <v>648.9</v>
      </c>
      <c r="AB316" s="51">
        <v>70.680999999999997</v>
      </c>
      <c r="AC316" s="52">
        <f t="shared" si="150"/>
        <v>0.15069731469145251</v>
      </c>
    </row>
    <row r="317" spans="1:91">
      <c r="A317" s="65"/>
      <c r="B317" s="42">
        <f t="shared" si="405"/>
        <v>276</v>
      </c>
      <c r="C317" s="572">
        <v>0.28000000000000003</v>
      </c>
      <c r="D317" s="574" t="str">
        <f t="shared" si="403"/>
        <v/>
      </c>
      <c r="E317" s="42">
        <f t="shared" si="406"/>
        <v>277.5</v>
      </c>
      <c r="F317" s="655">
        <v>0.27900000000000003</v>
      </c>
      <c r="G317" s="36" t="str">
        <f t="shared" si="404"/>
        <v/>
      </c>
      <c r="AA317" s="50">
        <v>648.79999999999995</v>
      </c>
      <c r="AB317" s="51">
        <v>70.668000000000006</v>
      </c>
      <c r="AC317" s="52">
        <f t="shared" si="150"/>
        <v>0.15077719963270647</v>
      </c>
    </row>
    <row r="318" spans="1:91">
      <c r="A318" s="65"/>
      <c r="B318" s="42">
        <f t="shared" si="405"/>
        <v>275</v>
      </c>
      <c r="C318" s="572">
        <v>0.28000000000000003</v>
      </c>
      <c r="D318" s="574" t="str">
        <f t="shared" si="403"/>
        <v/>
      </c>
      <c r="E318" s="42">
        <f t="shared" si="406"/>
        <v>277</v>
      </c>
      <c r="F318" s="655">
        <v>0.28000000000000003</v>
      </c>
      <c r="G318" s="36" t="str">
        <f t="shared" si="404"/>
        <v/>
      </c>
      <c r="AA318" s="50">
        <v>648.70000000000005</v>
      </c>
      <c r="AB318" s="51">
        <v>70.73</v>
      </c>
      <c r="AC318" s="52">
        <f t="shared" si="150"/>
        <v>0.15039634191755286</v>
      </c>
    </row>
    <row r="319" spans="1:91">
      <c r="A319" s="65"/>
      <c r="B319" s="42">
        <f t="shared" si="405"/>
        <v>274</v>
      </c>
      <c r="C319" s="572">
        <v>0.28299999999999997</v>
      </c>
      <c r="D319" s="574" t="str">
        <f t="shared" si="403"/>
        <v/>
      </c>
      <c r="E319" s="42">
        <f t="shared" si="406"/>
        <v>276.5</v>
      </c>
      <c r="F319" s="655">
        <v>0.28399999999999997</v>
      </c>
      <c r="G319" s="36" t="str">
        <f t="shared" si="404"/>
        <v/>
      </c>
      <c r="AA319" s="50">
        <v>648.6</v>
      </c>
      <c r="AB319" s="51">
        <v>70.745000000000005</v>
      </c>
      <c r="AC319" s="52">
        <f t="shared" si="150"/>
        <v>0.15030424907778669</v>
      </c>
    </row>
    <row r="320" spans="1:91">
      <c r="A320" s="590" t="s">
        <v>351</v>
      </c>
      <c r="B320" s="42">
        <f t="shared" si="405"/>
        <v>273</v>
      </c>
      <c r="C320" s="572">
        <v>0.28799999999999998</v>
      </c>
      <c r="D320" s="574" t="str">
        <f t="shared" si="403"/>
        <v/>
      </c>
      <c r="E320" s="42">
        <f t="shared" si="406"/>
        <v>276</v>
      </c>
      <c r="F320" s="655">
        <v>0.28999999999999998</v>
      </c>
      <c r="G320" s="36" t="str">
        <f t="shared" si="404"/>
        <v/>
      </c>
      <c r="AA320" s="50">
        <v>648.5</v>
      </c>
      <c r="AB320" s="51">
        <v>70.781999999999996</v>
      </c>
      <c r="AC320" s="52">
        <f t="shared" si="150"/>
        <v>0.15007717019960076</v>
      </c>
    </row>
    <row r="321" spans="1:91">
      <c r="A321" s="65"/>
      <c r="B321" s="42">
        <f t="shared" si="405"/>
        <v>272</v>
      </c>
      <c r="C321" s="572"/>
      <c r="D321" s="574" t="str">
        <f t="shared" si="403"/>
        <v/>
      </c>
      <c r="E321" s="42">
        <f t="shared" si="406"/>
        <v>275.5</v>
      </c>
      <c r="F321" s="655">
        <v>0.29499999999999998</v>
      </c>
      <c r="G321" s="36" t="str">
        <f t="shared" si="404"/>
        <v/>
      </c>
      <c r="AA321" s="50">
        <v>648.4</v>
      </c>
      <c r="AB321" s="51">
        <v>70.802000000000007</v>
      </c>
      <c r="AC321" s="52">
        <f t="shared" si="150"/>
        <v>0.14995447427780392</v>
      </c>
    </row>
    <row r="322" spans="1:91">
      <c r="A322" s="65"/>
      <c r="B322" s="42">
        <f t="shared" si="405"/>
        <v>271</v>
      </c>
      <c r="C322" s="572"/>
      <c r="D322" s="574" t="str">
        <f t="shared" si="403"/>
        <v/>
      </c>
      <c r="E322" s="42">
        <f t="shared" si="406"/>
        <v>275</v>
      </c>
      <c r="F322" s="655"/>
      <c r="G322" s="36" t="str">
        <f t="shared" si="404"/>
        <v/>
      </c>
      <c r="AA322" s="50">
        <v>648.29999999999995</v>
      </c>
      <c r="AB322" s="51">
        <v>70.852999999999994</v>
      </c>
      <c r="AC322" s="52">
        <f t="shared" si="150"/>
        <v>0.14964175648409306</v>
      </c>
    </row>
    <row r="323" spans="1:91">
      <c r="A323" s="65"/>
      <c r="B323" s="42">
        <f t="shared" si="405"/>
        <v>270</v>
      </c>
      <c r="C323" s="572"/>
      <c r="D323" s="574" t="str">
        <f t="shared" si="403"/>
        <v/>
      </c>
      <c r="E323" s="42">
        <f t="shared" si="406"/>
        <v>274.5</v>
      </c>
      <c r="F323" s="655"/>
      <c r="G323" s="36" t="str">
        <f t="shared" si="404"/>
        <v/>
      </c>
      <c r="AA323" s="50">
        <v>648.20000000000005</v>
      </c>
      <c r="AB323" s="51">
        <v>70.909000000000006</v>
      </c>
      <c r="AC323" s="52">
        <f t="shared" si="150"/>
        <v>0.14929863925589881</v>
      </c>
    </row>
    <row r="324" spans="1:91">
      <c r="A324" s="65"/>
      <c r="B324" s="42">
        <f t="shared" si="405"/>
        <v>269</v>
      </c>
      <c r="C324" s="572"/>
      <c r="D324" s="574" t="str">
        <f t="shared" si="403"/>
        <v/>
      </c>
      <c r="E324" s="42">
        <f t="shared" si="406"/>
        <v>274</v>
      </c>
      <c r="F324" s="655"/>
      <c r="G324" s="36" t="str">
        <f t="shared" si="404"/>
        <v/>
      </c>
      <c r="AA324" s="50">
        <v>648.1</v>
      </c>
      <c r="AB324" s="51">
        <v>70.995000000000005</v>
      </c>
      <c r="AC324" s="52">
        <f t="shared" si="150"/>
        <v>0.1487722364763247</v>
      </c>
    </row>
    <row r="325" spans="1:91">
      <c r="A325" s="65"/>
      <c r="B325" s="42">
        <f t="shared" si="405"/>
        <v>268</v>
      </c>
      <c r="C325" s="572"/>
      <c r="D325" s="574" t="str">
        <f t="shared" si="403"/>
        <v/>
      </c>
      <c r="E325" s="42">
        <f t="shared" si="406"/>
        <v>273.5</v>
      </c>
      <c r="F325" s="655"/>
      <c r="G325" s="36" t="str">
        <f t="shared" si="404"/>
        <v/>
      </c>
      <c r="AA325" s="50">
        <v>648</v>
      </c>
      <c r="AB325" s="51">
        <v>71.066000000000003</v>
      </c>
      <c r="AC325" s="52">
        <f t="shared" si="150"/>
        <v>0.14833812844129043</v>
      </c>
    </row>
    <row r="326" spans="1:91" ht="15.75" thickBot="1">
      <c r="A326" s="66"/>
      <c r="B326" s="47">
        <f t="shared" si="405"/>
        <v>267</v>
      </c>
      <c r="C326" s="570"/>
      <c r="D326" s="575" t="str">
        <f t="shared" si="403"/>
        <v/>
      </c>
      <c r="E326" s="47">
        <f t="shared" si="406"/>
        <v>273</v>
      </c>
      <c r="F326" s="661"/>
      <c r="G326" s="571" t="str">
        <f t="shared" si="404"/>
        <v/>
      </c>
      <c r="AA326" s="50">
        <v>647.9</v>
      </c>
      <c r="AB326" s="51">
        <v>71.182000000000002</v>
      </c>
      <c r="AC326" s="52">
        <f t="shared" si="150"/>
        <v>0.14762981379267692</v>
      </c>
    </row>
    <row r="327" spans="1:91" ht="15.75" thickTop="1">
      <c r="A327" s="65"/>
      <c r="B327" s="42">
        <f t="shared" ref="B327:B337" si="407">IF(ISNUMBER($G$45),B328+$G$45,"")</f>
        <v>253</v>
      </c>
      <c r="C327" s="567"/>
      <c r="D327" s="574" t="str">
        <f t="shared" ref="D327:D338" si="408">IF(C327&lt;&gt;"",IF(C327 = LARGE($C$327:$C$351,1), C327, ""), "")</f>
        <v/>
      </c>
      <c r="E327" s="42">
        <f t="shared" ref="E327:E337" si="409">IF(ISNUMBER($G$45),E328+$K$45,"")</f>
        <v>247</v>
      </c>
      <c r="F327" s="660"/>
      <c r="G327" s="36" t="str">
        <f t="shared" ref="G327:G338" si="410">IF(F327 &lt;&gt;"", IF(F327 = LARGE($F$327:$F$351,1), F327, ""), "")</f>
        <v/>
      </c>
      <c r="AA327" s="50">
        <v>647.79999999999995</v>
      </c>
      <c r="AB327" s="51">
        <v>71.236999999999995</v>
      </c>
      <c r="AC327" s="52">
        <f t="shared" si="150"/>
        <v>0.14729437824415983</v>
      </c>
    </row>
    <row r="328" spans="1:91">
      <c r="A328" s="65"/>
      <c r="B328" s="42">
        <f t="shared" si="407"/>
        <v>252</v>
      </c>
      <c r="C328" s="568"/>
      <c r="D328" s="574" t="str">
        <f t="shared" si="408"/>
        <v/>
      </c>
      <c r="E328" s="42">
        <f t="shared" si="409"/>
        <v>246.5</v>
      </c>
      <c r="F328" s="655"/>
      <c r="G328" s="36" t="str">
        <f t="shared" si="410"/>
        <v/>
      </c>
      <c r="AA328" s="50">
        <v>647.70000000000005</v>
      </c>
      <c r="AB328" s="51">
        <v>71.36</v>
      </c>
      <c r="AC328" s="52">
        <f t="shared" si="150"/>
        <v>0.14654515863193335</v>
      </c>
    </row>
    <row r="329" spans="1:91" ht="15.75" thickBot="1">
      <c r="A329" s="65"/>
      <c r="B329" s="42">
        <f t="shared" si="407"/>
        <v>251</v>
      </c>
      <c r="C329" s="568"/>
      <c r="D329" s="574" t="str">
        <f t="shared" si="408"/>
        <v/>
      </c>
      <c r="E329" s="42">
        <f t="shared" si="409"/>
        <v>246</v>
      </c>
      <c r="F329" s="655"/>
      <c r="G329" s="36" t="str">
        <f t="shared" si="410"/>
        <v/>
      </c>
      <c r="U329" s="589" t="s">
        <v>350</v>
      </c>
      <c r="AA329" s="50">
        <v>647.6</v>
      </c>
      <c r="AB329" s="51">
        <v>71.418999999999997</v>
      </c>
      <c r="AC329" s="52">
        <f t="shared" si="150"/>
        <v>0.14618623503825728</v>
      </c>
    </row>
    <row r="330" spans="1:91">
      <c r="A330" s="65"/>
      <c r="B330" s="42">
        <f t="shared" si="407"/>
        <v>250</v>
      </c>
      <c r="C330" s="572"/>
      <c r="D330" s="574" t="str">
        <f t="shared" si="408"/>
        <v/>
      </c>
      <c r="E330" s="42">
        <f t="shared" si="409"/>
        <v>245.5</v>
      </c>
      <c r="F330" s="655"/>
      <c r="G330" s="36" t="str">
        <f t="shared" si="410"/>
        <v/>
      </c>
      <c r="U330" s="103" t="s">
        <v>88</v>
      </c>
      <c r="V330" s="104" t="s">
        <v>89</v>
      </c>
      <c r="W330" s="105" t="s">
        <v>90</v>
      </c>
      <c r="X330" s="104" t="s">
        <v>91</v>
      </c>
      <c r="Y330" s="106" t="s">
        <v>96</v>
      </c>
      <c r="AA330" s="50">
        <v>647.5</v>
      </c>
      <c r="AB330" s="51">
        <v>71.451999999999998</v>
      </c>
      <c r="AC330" s="52">
        <f t="shared" ref="AC330:AC393" si="411">-LOG(AB330/100)</f>
        <v>0.14598561044463543</v>
      </c>
      <c r="AD330" s="746" t="s">
        <v>95</v>
      </c>
      <c r="AE330" s="50">
        <v>235.5</v>
      </c>
      <c r="AF330" s="50">
        <f t="shared" ref="AF330" si="412">AE330+0.2</f>
        <v>235.7</v>
      </c>
      <c r="AG330" s="50">
        <f t="shared" ref="AG330" si="413">AF330+0.2</f>
        <v>235.89999999999998</v>
      </c>
      <c r="AH330" s="50">
        <f t="shared" ref="AH330" si="414">AG330+0.2</f>
        <v>236.09999999999997</v>
      </c>
      <c r="AI330" s="50">
        <f t="shared" ref="AI330" si="415">AH330+0.2</f>
        <v>236.29999999999995</v>
      </c>
      <c r="AJ330" s="50">
        <f t="shared" ref="AJ330" si="416">AI330+0.2</f>
        <v>236.49999999999994</v>
      </c>
      <c r="AK330" s="50">
        <f t="shared" ref="AK330" si="417">AJ330+0.2</f>
        <v>236.69999999999993</v>
      </c>
      <c r="AL330" s="50">
        <f t="shared" ref="AL330" si="418">AK330+0.2</f>
        <v>236.89999999999992</v>
      </c>
      <c r="AM330" s="50">
        <f t="shared" ref="AM330" si="419">AL330+0.2</f>
        <v>237.09999999999991</v>
      </c>
      <c r="AN330" s="50">
        <f t="shared" ref="AN330" si="420">AM330+0.2</f>
        <v>237.2999999999999</v>
      </c>
      <c r="AO330" s="50">
        <f t="shared" ref="AO330" si="421">AN330+0.2</f>
        <v>237.49999999999989</v>
      </c>
      <c r="AP330" s="50">
        <f t="shared" ref="AP330" si="422">AO330+0.2</f>
        <v>237.69999999999987</v>
      </c>
      <c r="AQ330" s="50">
        <f t="shared" ref="AQ330" si="423">AP330+0.2</f>
        <v>237.89999999999986</v>
      </c>
      <c r="AR330" s="50">
        <f t="shared" ref="AR330" si="424">AQ330+0.2</f>
        <v>238.09999999999985</v>
      </c>
      <c r="AS330" s="50">
        <f t="shared" ref="AS330" si="425">AR330+0.2</f>
        <v>238.29999999999984</v>
      </c>
      <c r="AT330" s="50">
        <f t="shared" ref="AT330" si="426">AS330+0.2</f>
        <v>238.49999999999983</v>
      </c>
      <c r="AU330" s="50">
        <f t="shared" ref="AU330" si="427">AT330+0.2</f>
        <v>238.69999999999982</v>
      </c>
      <c r="AV330" s="50">
        <f t="shared" ref="AV330" si="428">AU330+0.2</f>
        <v>238.89999999999981</v>
      </c>
      <c r="AW330" s="50">
        <f t="shared" ref="AW330" si="429">AV330+0.2</f>
        <v>239.0999999999998</v>
      </c>
      <c r="AX330" s="50">
        <f t="shared" ref="AX330" si="430">AW330+0.2</f>
        <v>239.29999999999978</v>
      </c>
      <c r="AY330" s="50">
        <f t="shared" ref="AY330" si="431">AX330+0.2</f>
        <v>239.49999999999977</v>
      </c>
      <c r="AZ330" s="50">
        <f t="shared" ref="AZ330" si="432">AY330+0.2</f>
        <v>239.69999999999976</v>
      </c>
      <c r="BA330" s="50">
        <f t="shared" ref="BA330" si="433">AZ330+0.2</f>
        <v>239.89999999999975</v>
      </c>
      <c r="BB330" s="50">
        <f t="shared" ref="BB330" si="434">BA330+0.2</f>
        <v>240.09999999999974</v>
      </c>
      <c r="BC330" s="50">
        <f t="shared" ref="BC330" si="435">BB330+0.2</f>
        <v>240.29999999999973</v>
      </c>
      <c r="BD330" s="50">
        <f t="shared" ref="BD330" si="436">BC330+0.2</f>
        <v>240.49999999999972</v>
      </c>
      <c r="BE330" s="50">
        <f t="shared" ref="BE330" si="437">BD330+0.2</f>
        <v>240.6999999999997</v>
      </c>
      <c r="BF330" s="50">
        <f t="shared" ref="BF330" si="438">BE330+0.2</f>
        <v>240.89999999999969</v>
      </c>
      <c r="BG330" s="50">
        <f t="shared" ref="BG330" si="439">BF330+0.2</f>
        <v>241.09999999999968</v>
      </c>
      <c r="BH330" s="50">
        <f t="shared" ref="BH330" si="440">BG330+0.2</f>
        <v>241.29999999999967</v>
      </c>
      <c r="BI330" s="50">
        <f t="shared" ref="BI330" si="441">BH330+0.2</f>
        <v>241.49999999999966</v>
      </c>
      <c r="BJ330" s="50">
        <f t="shared" ref="BJ330" si="442">BI330+0.2</f>
        <v>241.69999999999965</v>
      </c>
      <c r="BK330" s="50">
        <f t="shared" ref="BK330" si="443">BJ330+0.2</f>
        <v>241.89999999999964</v>
      </c>
      <c r="BL330" s="50">
        <f t="shared" ref="BL330" si="444">BK330+0.2</f>
        <v>242.09999999999962</v>
      </c>
      <c r="BM330" s="50">
        <f t="shared" ref="BM330" si="445">BL330+0.2</f>
        <v>242.29999999999961</v>
      </c>
      <c r="BN330" s="50">
        <f t="shared" ref="BN330" si="446">BM330+0.2</f>
        <v>242.4999999999996</v>
      </c>
      <c r="BO330" s="50">
        <f t="shared" ref="BO330" si="447">BN330+0.2</f>
        <v>242.69999999999959</v>
      </c>
      <c r="BP330" s="50">
        <f t="shared" ref="BP330" si="448">BO330+0.2</f>
        <v>242.89999999999958</v>
      </c>
      <c r="BQ330" s="50">
        <f t="shared" ref="BQ330" si="449">BP330+0.2</f>
        <v>243.09999999999957</v>
      </c>
      <c r="BR330" s="50">
        <f t="shared" ref="BR330" si="450">BQ330+0.2</f>
        <v>243.29999999999956</v>
      </c>
      <c r="BS330" s="50">
        <f t="shared" ref="BS330" si="451">BR330+0.2</f>
        <v>243.49999999999955</v>
      </c>
      <c r="BT330" s="50">
        <f t="shared" ref="BT330" si="452">BS330+0.2</f>
        <v>243.69999999999953</v>
      </c>
      <c r="BU330" s="50">
        <f t="shared" ref="BU330" si="453">BT330+0.2</f>
        <v>243.89999999999952</v>
      </c>
      <c r="BV330" s="50">
        <f t="shared" ref="BV330" si="454">BU330+0.2</f>
        <v>244.09999999999951</v>
      </c>
      <c r="BW330" s="50">
        <f t="shared" ref="BW330" si="455">BV330+0.2</f>
        <v>244.2999999999995</v>
      </c>
      <c r="BX330" s="50">
        <f t="shared" ref="BX330" si="456">BW330+0.2</f>
        <v>244.49999999999949</v>
      </c>
      <c r="BY330" s="50">
        <f t="shared" ref="BY330" si="457">BX330+0.2</f>
        <v>244.69999999999948</v>
      </c>
      <c r="BZ330" s="50">
        <f t="shared" ref="BZ330" si="458">BY330+0.2</f>
        <v>244.89999999999947</v>
      </c>
      <c r="CA330" s="50">
        <f t="shared" ref="CA330" si="459">BZ330+0.2</f>
        <v>245.09999999999945</v>
      </c>
      <c r="CB330" s="50">
        <f t="shared" ref="CB330" si="460">CA330+0.2</f>
        <v>245.29999999999944</v>
      </c>
      <c r="CC330" s="50">
        <f t="shared" ref="CC330" si="461">CB330+0.2</f>
        <v>245.49999999999943</v>
      </c>
      <c r="CD330" s="50">
        <f t="shared" ref="CD330" si="462">CC330+0.2</f>
        <v>245.69999999999942</v>
      </c>
      <c r="CE330" s="50">
        <f t="shared" ref="CE330" si="463">CD330+0.2</f>
        <v>245.89999999999941</v>
      </c>
      <c r="CF330" s="50">
        <f t="shared" ref="CF330" si="464">CE330+0.2</f>
        <v>246.0999999999994</v>
      </c>
      <c r="CG330" s="50">
        <f t="shared" ref="CG330" si="465">CF330+0.2</f>
        <v>246.29999999999939</v>
      </c>
      <c r="CH330" s="50">
        <f t="shared" ref="CH330" si="466">CG330+0.2</f>
        <v>246.49999999999937</v>
      </c>
      <c r="CI330" s="50">
        <f t="shared" ref="CI330" si="467">CH330+0.2</f>
        <v>246.69999999999936</v>
      </c>
      <c r="CJ330" s="50">
        <f t="shared" ref="CJ330" si="468">CI330+0.2</f>
        <v>246.89999999999935</v>
      </c>
      <c r="CK330" s="50">
        <f t="shared" ref="CK330" si="469">CJ330+0.2</f>
        <v>247.09999999999934</v>
      </c>
      <c r="CL330" s="50">
        <f t="shared" ref="CL330" si="470">CK330+0.2</f>
        <v>247.29999999999933</v>
      </c>
      <c r="CM330" s="50">
        <f t="shared" ref="CM330" si="471">CL330+0.2</f>
        <v>247.49999999999932</v>
      </c>
    </row>
    <row r="331" spans="1:91" ht="19.5" thickBot="1">
      <c r="A331" s="46"/>
      <c r="B331" s="42">
        <f t="shared" si="407"/>
        <v>249</v>
      </c>
      <c r="C331" s="569"/>
      <c r="D331" s="574" t="str">
        <f t="shared" si="408"/>
        <v/>
      </c>
      <c r="E331" s="42">
        <f t="shared" si="409"/>
        <v>245</v>
      </c>
      <c r="F331" s="655"/>
      <c r="G331" s="36" t="str">
        <f t="shared" si="410"/>
        <v/>
      </c>
      <c r="U331" s="114">
        <v>239.7</v>
      </c>
      <c r="V331" s="116">
        <v>0.77029999999999998</v>
      </c>
      <c r="W331" s="115">
        <v>241.5</v>
      </c>
      <c r="X331" s="116">
        <v>1.0156000000000001</v>
      </c>
      <c r="Y331" s="107">
        <f>(V331 + X331)/2</f>
        <v>0.89295000000000002</v>
      </c>
      <c r="AA331" s="50">
        <v>647.4</v>
      </c>
      <c r="AB331" s="51">
        <v>71.513999999999996</v>
      </c>
      <c r="AC331" s="52">
        <f t="shared" si="411"/>
        <v>0.14560892984133109</v>
      </c>
      <c r="AD331" s="746"/>
      <c r="AE331" s="52">
        <f>$Y331</f>
        <v>0.89295000000000002</v>
      </c>
      <c r="AF331" s="52">
        <f t="shared" ref="AF331" si="472">AE331</f>
        <v>0.89295000000000002</v>
      </c>
      <c r="AG331" s="52">
        <f t="shared" ref="AG331" si="473">AF331</f>
        <v>0.89295000000000002</v>
      </c>
      <c r="AH331" s="52">
        <f t="shared" ref="AH331" si="474">AG331</f>
        <v>0.89295000000000002</v>
      </c>
      <c r="AI331" s="52">
        <f t="shared" ref="AI331" si="475">AH331</f>
        <v>0.89295000000000002</v>
      </c>
      <c r="AJ331" s="52">
        <f t="shared" ref="AJ331" si="476">AI331</f>
        <v>0.89295000000000002</v>
      </c>
      <c r="AK331" s="52">
        <f t="shared" ref="AK331" si="477">AJ331</f>
        <v>0.89295000000000002</v>
      </c>
      <c r="AL331" s="52">
        <f t="shared" ref="AL331" si="478">AK331</f>
        <v>0.89295000000000002</v>
      </c>
      <c r="AM331" s="52">
        <f t="shared" ref="AM331" si="479">AL331</f>
        <v>0.89295000000000002</v>
      </c>
      <c r="AN331" s="52">
        <f t="shared" ref="AN331" si="480">AM331</f>
        <v>0.89295000000000002</v>
      </c>
      <c r="AO331" s="52">
        <f t="shared" ref="AO331" si="481">AN331</f>
        <v>0.89295000000000002</v>
      </c>
      <c r="AP331" s="52">
        <f t="shared" ref="AP331" si="482">AO331</f>
        <v>0.89295000000000002</v>
      </c>
      <c r="AQ331" s="52">
        <f t="shared" ref="AQ331" si="483">AP331</f>
        <v>0.89295000000000002</v>
      </c>
      <c r="AR331" s="52">
        <f t="shared" ref="AR331" si="484">AQ331</f>
        <v>0.89295000000000002</v>
      </c>
      <c r="AS331" s="52">
        <f t="shared" ref="AS331" si="485">AR331</f>
        <v>0.89295000000000002</v>
      </c>
      <c r="AT331" s="52">
        <f t="shared" ref="AT331" si="486">AS331</f>
        <v>0.89295000000000002</v>
      </c>
      <c r="AU331" s="52">
        <f t="shared" ref="AU331" si="487">AT331</f>
        <v>0.89295000000000002</v>
      </c>
      <c r="AV331" s="52">
        <f t="shared" ref="AV331" si="488">AU331</f>
        <v>0.89295000000000002</v>
      </c>
      <c r="AW331" s="52">
        <f t="shared" ref="AW331" si="489">AV331</f>
        <v>0.89295000000000002</v>
      </c>
      <c r="AX331" s="52">
        <f t="shared" ref="AX331" si="490">AW331</f>
        <v>0.89295000000000002</v>
      </c>
      <c r="AY331" s="52">
        <f t="shared" ref="AY331" si="491">AX331</f>
        <v>0.89295000000000002</v>
      </c>
      <c r="AZ331" s="52">
        <f t="shared" ref="AZ331" si="492">AY331</f>
        <v>0.89295000000000002</v>
      </c>
      <c r="BA331" s="52">
        <f t="shared" ref="BA331" si="493">AZ331</f>
        <v>0.89295000000000002</v>
      </c>
      <c r="BB331" s="52">
        <f t="shared" ref="BB331" si="494">BA331</f>
        <v>0.89295000000000002</v>
      </c>
      <c r="BC331" s="52">
        <f t="shared" ref="BC331" si="495">BB331</f>
        <v>0.89295000000000002</v>
      </c>
      <c r="BD331" s="52">
        <f t="shared" ref="BD331" si="496">BC331</f>
        <v>0.89295000000000002</v>
      </c>
      <c r="BE331" s="52">
        <f t="shared" ref="BE331" si="497">BD331</f>
        <v>0.89295000000000002</v>
      </c>
      <c r="BF331" s="52">
        <f t="shared" ref="BF331" si="498">BE331</f>
        <v>0.89295000000000002</v>
      </c>
      <c r="BG331" s="52">
        <f t="shared" ref="BG331" si="499">BF331</f>
        <v>0.89295000000000002</v>
      </c>
      <c r="BH331" s="52">
        <f t="shared" ref="BH331" si="500">BG331</f>
        <v>0.89295000000000002</v>
      </c>
      <c r="BI331" s="52">
        <f t="shared" ref="BI331" si="501">BH331</f>
        <v>0.89295000000000002</v>
      </c>
      <c r="BJ331" s="52">
        <f t="shared" ref="BJ331" si="502">BI331</f>
        <v>0.89295000000000002</v>
      </c>
      <c r="BK331" s="52">
        <f t="shared" ref="BK331" si="503">BJ331</f>
        <v>0.89295000000000002</v>
      </c>
      <c r="BL331" s="52">
        <f t="shared" ref="BL331" si="504">BK331</f>
        <v>0.89295000000000002</v>
      </c>
      <c r="BM331" s="52">
        <f t="shared" ref="BM331" si="505">BL331</f>
        <v>0.89295000000000002</v>
      </c>
      <c r="BN331" s="52">
        <f t="shared" ref="BN331" si="506">BM331</f>
        <v>0.89295000000000002</v>
      </c>
      <c r="BO331" s="52">
        <f t="shared" ref="BO331" si="507">BN331</f>
        <v>0.89295000000000002</v>
      </c>
      <c r="BP331" s="52">
        <f t="shared" ref="BP331" si="508">BO331</f>
        <v>0.89295000000000002</v>
      </c>
      <c r="BQ331" s="52">
        <f t="shared" ref="BQ331" si="509">BP331</f>
        <v>0.89295000000000002</v>
      </c>
      <c r="BR331" s="52">
        <f t="shared" ref="BR331" si="510">BQ331</f>
        <v>0.89295000000000002</v>
      </c>
      <c r="BS331" s="52">
        <f t="shared" ref="BS331" si="511">BR331</f>
        <v>0.89295000000000002</v>
      </c>
      <c r="BT331" s="52">
        <f t="shared" ref="BT331" si="512">BS331</f>
        <v>0.89295000000000002</v>
      </c>
      <c r="BU331" s="52">
        <f t="shared" ref="BU331" si="513">BT331</f>
        <v>0.89295000000000002</v>
      </c>
      <c r="BV331" s="52">
        <f t="shared" ref="BV331" si="514">BU331</f>
        <v>0.89295000000000002</v>
      </c>
      <c r="BW331" s="52">
        <f t="shared" ref="BW331" si="515">BV331</f>
        <v>0.89295000000000002</v>
      </c>
      <c r="BX331" s="52">
        <f t="shared" ref="BX331" si="516">BW331</f>
        <v>0.89295000000000002</v>
      </c>
      <c r="BY331" s="52">
        <f t="shared" ref="BY331" si="517">BX331</f>
        <v>0.89295000000000002</v>
      </c>
      <c r="BZ331" s="52">
        <f t="shared" ref="BZ331" si="518">BY331</f>
        <v>0.89295000000000002</v>
      </c>
      <c r="CA331" s="52">
        <f t="shared" ref="CA331" si="519">BZ331</f>
        <v>0.89295000000000002</v>
      </c>
      <c r="CB331" s="52">
        <f t="shared" ref="CB331" si="520">CA331</f>
        <v>0.89295000000000002</v>
      </c>
      <c r="CC331" s="52">
        <f t="shared" ref="CC331" si="521">CB331</f>
        <v>0.89295000000000002</v>
      </c>
      <c r="CD331" s="52">
        <f t="shared" ref="CD331" si="522">CC331</f>
        <v>0.89295000000000002</v>
      </c>
      <c r="CE331" s="52">
        <f t="shared" ref="CE331" si="523">CD331</f>
        <v>0.89295000000000002</v>
      </c>
      <c r="CF331" s="52">
        <f t="shared" ref="CF331" si="524">CE331</f>
        <v>0.89295000000000002</v>
      </c>
      <c r="CG331" s="52">
        <f t="shared" ref="CG331" si="525">CF331</f>
        <v>0.89295000000000002</v>
      </c>
      <c r="CH331" s="52">
        <f t="shared" ref="CH331" si="526">CG331</f>
        <v>0.89295000000000002</v>
      </c>
      <c r="CI331" s="52">
        <f t="shared" ref="CI331" si="527">CH331</f>
        <v>0.89295000000000002</v>
      </c>
      <c r="CJ331" s="52">
        <f t="shared" ref="CJ331" si="528">CI331</f>
        <v>0.89295000000000002</v>
      </c>
      <c r="CK331" s="52">
        <f t="shared" ref="CK331" si="529">CJ331</f>
        <v>0.89295000000000002</v>
      </c>
      <c r="CL331" s="52">
        <f t="shared" ref="CL331" si="530">CK331</f>
        <v>0.89295000000000002</v>
      </c>
      <c r="CM331" s="52">
        <f t="shared" ref="CM331" si="531">CL331</f>
        <v>0.89295000000000002</v>
      </c>
    </row>
    <row r="332" spans="1:91" ht="18.75">
      <c r="A332" s="46"/>
      <c r="B332" s="42">
        <f t="shared" si="407"/>
        <v>248</v>
      </c>
      <c r="C332" s="569"/>
      <c r="D332" s="574" t="str">
        <f t="shared" si="408"/>
        <v/>
      </c>
      <c r="E332" s="42">
        <f t="shared" si="409"/>
        <v>244.5</v>
      </c>
      <c r="F332" s="655"/>
      <c r="G332" s="36" t="str">
        <f t="shared" si="410"/>
        <v/>
      </c>
      <c r="AA332" s="50">
        <v>647.29999999999995</v>
      </c>
      <c r="AB332" s="51">
        <v>71.528999999999996</v>
      </c>
      <c r="AC332" s="52">
        <f t="shared" si="411"/>
        <v>0.1455178464992252</v>
      </c>
    </row>
    <row r="333" spans="1:91" ht="15.75" thickBot="1">
      <c r="A333" s="590" t="s">
        <v>352</v>
      </c>
      <c r="B333" s="42">
        <f t="shared" si="407"/>
        <v>247</v>
      </c>
      <c r="C333" s="569">
        <v>0.56100000000000005</v>
      </c>
      <c r="D333" s="574" t="str">
        <f t="shared" si="408"/>
        <v/>
      </c>
      <c r="E333" s="42">
        <f t="shared" si="409"/>
        <v>244</v>
      </c>
      <c r="F333" s="655">
        <v>0.56599999999999995</v>
      </c>
      <c r="G333" s="36" t="str">
        <f t="shared" si="410"/>
        <v/>
      </c>
      <c r="AA333" s="50">
        <v>647.20000000000005</v>
      </c>
      <c r="AB333" s="51">
        <v>71.558999999999997</v>
      </c>
      <c r="AC333" s="52">
        <f t="shared" si="411"/>
        <v>0.14533573710293754</v>
      </c>
    </row>
    <row r="334" spans="1:91">
      <c r="A334" s="65"/>
      <c r="B334" s="42">
        <f t="shared" si="407"/>
        <v>246</v>
      </c>
      <c r="C334" s="569">
        <v>0.58199999999999996</v>
      </c>
      <c r="D334" s="574" t="str">
        <f t="shared" si="408"/>
        <v/>
      </c>
      <c r="E334" s="42">
        <f t="shared" si="409"/>
        <v>243.5</v>
      </c>
      <c r="F334" s="655">
        <v>0.59</v>
      </c>
      <c r="G334" s="36" t="str">
        <f t="shared" si="410"/>
        <v/>
      </c>
      <c r="U334" s="95" t="s">
        <v>87</v>
      </c>
      <c r="V334" s="96">
        <f>X335 - X334</f>
        <v>1.2000000000000171</v>
      </c>
      <c r="W334" s="97" t="s">
        <v>92</v>
      </c>
      <c r="X334" s="117">
        <v>241.1</v>
      </c>
      <c r="Y334" s="98" t="s">
        <v>53</v>
      </c>
      <c r="AA334" s="50">
        <v>647.1</v>
      </c>
      <c r="AB334" s="51">
        <v>71.575999999999993</v>
      </c>
      <c r="AC334" s="52">
        <f t="shared" si="411"/>
        <v>0.14523257566475584</v>
      </c>
    </row>
    <row r="335" spans="1:91" ht="15.75" thickBot="1">
      <c r="A335" s="65"/>
      <c r="B335" s="42">
        <f t="shared" si="407"/>
        <v>245</v>
      </c>
      <c r="C335" s="569">
        <v>0.61499999999999999</v>
      </c>
      <c r="D335" s="574" t="str">
        <f t="shared" si="408"/>
        <v/>
      </c>
      <c r="E335" s="42">
        <f t="shared" si="409"/>
        <v>243</v>
      </c>
      <c r="F335" s="655">
        <v>0.627</v>
      </c>
      <c r="G335" s="36" t="str">
        <f t="shared" si="410"/>
        <v/>
      </c>
      <c r="U335" s="99" t="s">
        <v>93</v>
      </c>
      <c r="V335" s="100">
        <f>X331 - Y331</f>
        <v>0.12265000000000004</v>
      </c>
      <c r="W335" s="101" t="s">
        <v>94</v>
      </c>
      <c r="X335" s="118">
        <v>242.3</v>
      </c>
      <c r="Y335" s="102" t="s">
        <v>53</v>
      </c>
      <c r="AA335" s="50">
        <v>647</v>
      </c>
      <c r="AB335" s="51">
        <v>71.625</v>
      </c>
      <c r="AC335" s="52">
        <f t="shared" si="411"/>
        <v>0.14493536502455359</v>
      </c>
    </row>
    <row r="336" spans="1:91">
      <c r="A336" s="65"/>
      <c r="B336" s="42">
        <f t="shared" si="407"/>
        <v>244</v>
      </c>
      <c r="C336" s="569">
        <v>0.65600000000000003</v>
      </c>
      <c r="D336" s="574" t="str">
        <f t="shared" si="408"/>
        <v/>
      </c>
      <c r="E336" s="42">
        <f t="shared" si="409"/>
        <v>242.5</v>
      </c>
      <c r="F336" s="655">
        <v>0.66800000000000004</v>
      </c>
      <c r="G336" s="36" t="str">
        <f t="shared" si="410"/>
        <v/>
      </c>
      <c r="AA336" s="50">
        <v>646.9</v>
      </c>
      <c r="AB336" s="51">
        <v>71.715000000000003</v>
      </c>
      <c r="AC336" s="52">
        <f t="shared" si="411"/>
        <v>0.14438999724852933</v>
      </c>
    </row>
    <row r="337" spans="1:29">
      <c r="A337" s="65"/>
      <c r="B337" s="42">
        <f t="shared" si="407"/>
        <v>243</v>
      </c>
      <c r="C337" s="569">
        <v>0.69899999999999995</v>
      </c>
      <c r="D337" s="574" t="str">
        <f t="shared" si="408"/>
        <v/>
      </c>
      <c r="E337" s="42">
        <f t="shared" si="409"/>
        <v>242</v>
      </c>
      <c r="F337" s="655">
        <v>0.70599999999999996</v>
      </c>
      <c r="G337" s="36" t="str">
        <f t="shared" si="410"/>
        <v/>
      </c>
      <c r="AA337" s="50">
        <v>646.79999999999995</v>
      </c>
      <c r="AB337" s="51">
        <v>71.783000000000001</v>
      </c>
      <c r="AC337" s="52">
        <f t="shared" si="411"/>
        <v>0.14397839531707446</v>
      </c>
    </row>
    <row r="338" spans="1:29">
      <c r="A338" s="59" t="s">
        <v>350</v>
      </c>
      <c r="B338" s="42">
        <f>IF(ISNUMBER($G$45),B339+$G$45,"")</f>
        <v>242</v>
      </c>
      <c r="C338" s="569">
        <v>0.71799999999999997</v>
      </c>
      <c r="D338" s="574" t="str">
        <f t="shared" si="408"/>
        <v/>
      </c>
      <c r="E338" s="42">
        <f>IF(ISNUMBER($G$45),E339+$K$45,"")</f>
        <v>241.5</v>
      </c>
      <c r="F338" s="655">
        <v>0.72</v>
      </c>
      <c r="G338" s="36">
        <f t="shared" si="410"/>
        <v>0.72</v>
      </c>
      <c r="AA338" s="50">
        <v>646.70000000000005</v>
      </c>
      <c r="AB338" s="51">
        <v>71.847999999999999</v>
      </c>
      <c r="AC338" s="52">
        <f t="shared" si="411"/>
        <v>0.14358531661887108</v>
      </c>
    </row>
    <row r="339" spans="1:29">
      <c r="A339" s="45">
        <v>241.5</v>
      </c>
      <c r="B339" s="121">
        <v>241</v>
      </c>
      <c r="C339" s="569">
        <v>0.72299999999999998</v>
      </c>
      <c r="D339" s="574">
        <f>IF(C339&lt;&gt;"",IF(C339 = LARGE($C$327:$C$351,1), C339, ""), "")</f>
        <v>0.72299999999999998</v>
      </c>
      <c r="E339" s="121">
        <f>B339</f>
        <v>241</v>
      </c>
      <c r="F339" s="655">
        <v>0.72</v>
      </c>
      <c r="G339" s="36">
        <f>IF(F339 &lt;&gt;"", IF(F339 = LARGE($F$327:$F$351,1), F339, ""), "")</f>
        <v>0.72</v>
      </c>
      <c r="AA339" s="50">
        <v>646.6</v>
      </c>
      <c r="AB339" s="51">
        <v>71.792000000000002</v>
      </c>
      <c r="AC339" s="52">
        <f t="shared" si="411"/>
        <v>0.14392394781100096</v>
      </c>
    </row>
    <row r="340" spans="1:29">
      <c r="A340" s="65"/>
      <c r="B340" s="42">
        <f>IF(ISNUMBER($G$45),B339-$G$45,"")</f>
        <v>240</v>
      </c>
      <c r="C340" s="569">
        <v>0.70399999999999996</v>
      </c>
      <c r="D340" s="574" t="str">
        <f t="shared" ref="D340:D351" si="532">IF(C340&lt;&gt;"",IF(C340 = LARGE($C$327:$C$351,1), C340, ""), "")</f>
        <v/>
      </c>
      <c r="E340" s="42">
        <f>IF(ISNUMBER($G$45),E339-$K$45,"")</f>
        <v>240.5</v>
      </c>
      <c r="F340" s="655">
        <v>0.69599999999999995</v>
      </c>
      <c r="G340" s="36" t="str">
        <f t="shared" ref="G340:G351" si="533">IF(F340 &lt;&gt;"", IF(F340 = LARGE($F$327:$F$351,1), F340, ""), "")</f>
        <v/>
      </c>
      <c r="AA340" s="50">
        <v>646.5</v>
      </c>
      <c r="AB340" s="51">
        <v>71.816000000000003</v>
      </c>
      <c r="AC340" s="52">
        <f t="shared" si="411"/>
        <v>0.1437787878246114</v>
      </c>
    </row>
    <row r="341" spans="1:29">
      <c r="A341" s="65"/>
      <c r="B341" s="42">
        <f t="shared" ref="B341:B351" si="534">IF(ISNUMBER($G$45),B340-$G$45,"")</f>
        <v>239</v>
      </c>
      <c r="C341" s="572">
        <v>0.68200000000000005</v>
      </c>
      <c r="D341" s="574" t="str">
        <f t="shared" si="532"/>
        <v/>
      </c>
      <c r="E341" s="42">
        <f t="shared" ref="E341:E351" si="535">IF(ISNUMBER($G$45),E340-$K$45,"")</f>
        <v>240</v>
      </c>
      <c r="F341" s="655">
        <v>0.67700000000000005</v>
      </c>
      <c r="G341" s="36" t="str">
        <f t="shared" si="533"/>
        <v/>
      </c>
      <c r="AA341" s="50">
        <v>646.4</v>
      </c>
      <c r="AB341" s="51">
        <v>71.844999999999999</v>
      </c>
      <c r="AC341" s="52">
        <f t="shared" si="411"/>
        <v>0.14360345088353113</v>
      </c>
    </row>
    <row r="342" spans="1:29">
      <c r="A342" s="65"/>
      <c r="B342" s="42">
        <f t="shared" si="534"/>
        <v>238</v>
      </c>
      <c r="C342" s="572">
        <v>0.67400000000000004</v>
      </c>
      <c r="D342" s="574" t="str">
        <f t="shared" si="532"/>
        <v/>
      </c>
      <c r="E342" s="42">
        <f t="shared" si="535"/>
        <v>239.5</v>
      </c>
      <c r="F342" s="655">
        <v>0.67400000000000004</v>
      </c>
      <c r="G342" s="36" t="str">
        <f t="shared" si="533"/>
        <v/>
      </c>
      <c r="AA342" s="50">
        <v>646.29999999999995</v>
      </c>
      <c r="AB342" s="51">
        <v>71.864000000000004</v>
      </c>
      <c r="AC342" s="52">
        <f t="shared" si="411"/>
        <v>0.1434886133270212</v>
      </c>
    </row>
    <row r="343" spans="1:29">
      <c r="A343" s="65"/>
      <c r="B343" s="42">
        <f t="shared" si="534"/>
        <v>237</v>
      </c>
      <c r="C343" s="572">
        <v>0.68200000000000005</v>
      </c>
      <c r="D343" s="574" t="str">
        <f t="shared" si="532"/>
        <v/>
      </c>
      <c r="E343" s="42">
        <f t="shared" si="535"/>
        <v>239</v>
      </c>
      <c r="F343" s="655">
        <v>0.68400000000000005</v>
      </c>
      <c r="G343" s="36" t="str">
        <f t="shared" si="533"/>
        <v/>
      </c>
      <c r="AA343" s="50">
        <v>646.20000000000005</v>
      </c>
      <c r="AB343" s="51">
        <v>71.87</v>
      </c>
      <c r="AC343" s="52">
        <f t="shared" si="411"/>
        <v>0.14345235514325214</v>
      </c>
    </row>
    <row r="344" spans="1:29">
      <c r="A344" s="65"/>
      <c r="B344" s="42">
        <f t="shared" si="534"/>
        <v>236</v>
      </c>
      <c r="C344" s="572">
        <v>0.69199999999999995</v>
      </c>
      <c r="D344" s="574" t="str">
        <f t="shared" si="532"/>
        <v/>
      </c>
      <c r="E344" s="42">
        <f t="shared" si="535"/>
        <v>238.5</v>
      </c>
      <c r="F344" s="655">
        <v>0.69399999999999995</v>
      </c>
      <c r="G344" s="36" t="str">
        <f t="shared" si="533"/>
        <v/>
      </c>
      <c r="AA344" s="50">
        <v>646.1</v>
      </c>
      <c r="AB344" s="51">
        <v>71.896000000000001</v>
      </c>
      <c r="AC344" s="52">
        <f t="shared" si="411"/>
        <v>0.14329527131741587</v>
      </c>
    </row>
    <row r="345" spans="1:29">
      <c r="A345" s="590" t="s">
        <v>351</v>
      </c>
      <c r="B345" s="42">
        <f t="shared" si="534"/>
        <v>235</v>
      </c>
      <c r="C345" s="572">
        <v>0.70299999999999996</v>
      </c>
      <c r="D345" s="574" t="str">
        <f t="shared" si="532"/>
        <v/>
      </c>
      <c r="E345" s="42">
        <f t="shared" si="535"/>
        <v>238</v>
      </c>
      <c r="F345" s="655">
        <v>0.70599999999999996</v>
      </c>
      <c r="G345" s="36" t="str">
        <f t="shared" si="533"/>
        <v/>
      </c>
      <c r="AA345" s="50">
        <v>646</v>
      </c>
      <c r="AB345" s="51">
        <v>71.927000000000007</v>
      </c>
      <c r="AC345" s="52">
        <f t="shared" si="411"/>
        <v>0.14310805329043136</v>
      </c>
    </row>
    <row r="346" spans="1:29">
      <c r="A346" s="65"/>
      <c r="B346" s="42">
        <f t="shared" si="534"/>
        <v>234</v>
      </c>
      <c r="C346" s="572"/>
      <c r="D346" s="574" t="str">
        <f t="shared" si="532"/>
        <v/>
      </c>
      <c r="E346" s="42">
        <f t="shared" si="535"/>
        <v>237.5</v>
      </c>
      <c r="F346" s="655"/>
      <c r="G346" s="36" t="str">
        <f t="shared" si="533"/>
        <v/>
      </c>
      <c r="AA346" s="50">
        <v>645.9</v>
      </c>
      <c r="AB346" s="51">
        <v>71.929000000000002</v>
      </c>
      <c r="AC346" s="52">
        <f t="shared" si="411"/>
        <v>0.14309597747901079</v>
      </c>
    </row>
    <row r="347" spans="1:29">
      <c r="A347" s="65"/>
      <c r="B347" s="42">
        <f t="shared" si="534"/>
        <v>233</v>
      </c>
      <c r="C347" s="572"/>
      <c r="D347" s="574" t="str">
        <f t="shared" si="532"/>
        <v/>
      </c>
      <c r="E347" s="42">
        <f t="shared" si="535"/>
        <v>237</v>
      </c>
      <c r="F347" s="655"/>
      <c r="G347" s="36" t="str">
        <f t="shared" si="533"/>
        <v/>
      </c>
      <c r="AA347" s="50">
        <v>645.79999999999995</v>
      </c>
      <c r="AB347" s="51">
        <v>72.025000000000006</v>
      </c>
      <c r="AC347" s="52">
        <f t="shared" si="411"/>
        <v>0.14251673304754939</v>
      </c>
    </row>
    <row r="348" spans="1:29">
      <c r="A348" s="65"/>
      <c r="B348" s="42">
        <f t="shared" si="534"/>
        <v>232</v>
      </c>
      <c r="C348" s="572"/>
      <c r="D348" s="574" t="str">
        <f t="shared" si="532"/>
        <v/>
      </c>
      <c r="E348" s="42">
        <f t="shared" si="535"/>
        <v>236.5</v>
      </c>
      <c r="F348" s="655"/>
      <c r="G348" s="36" t="str">
        <f t="shared" si="533"/>
        <v/>
      </c>
      <c r="AA348" s="50">
        <v>645.70000000000005</v>
      </c>
      <c r="AB348" s="51">
        <v>72.066000000000003</v>
      </c>
      <c r="AC348" s="52">
        <f t="shared" si="411"/>
        <v>0.14226958264622541</v>
      </c>
    </row>
    <row r="349" spans="1:29">
      <c r="A349" s="65"/>
      <c r="B349" s="42">
        <f t="shared" si="534"/>
        <v>231</v>
      </c>
      <c r="C349" s="572"/>
      <c r="D349" s="574" t="str">
        <f t="shared" si="532"/>
        <v/>
      </c>
      <c r="E349" s="42">
        <f t="shared" si="535"/>
        <v>236</v>
      </c>
      <c r="F349" s="655"/>
      <c r="G349" s="36" t="str">
        <f t="shared" si="533"/>
        <v/>
      </c>
      <c r="AA349" s="50">
        <v>645.6</v>
      </c>
      <c r="AB349" s="51">
        <v>72.138999999999996</v>
      </c>
      <c r="AC349" s="52">
        <f t="shared" si="411"/>
        <v>0.14182988222131543</v>
      </c>
    </row>
    <row r="350" spans="1:29">
      <c r="A350" s="65"/>
      <c r="B350" s="42">
        <f t="shared" si="534"/>
        <v>230</v>
      </c>
      <c r="C350" s="572"/>
      <c r="D350" s="574" t="str">
        <f t="shared" si="532"/>
        <v/>
      </c>
      <c r="E350" s="42">
        <f t="shared" si="535"/>
        <v>235.5</v>
      </c>
      <c r="F350" s="655"/>
      <c r="G350" s="36" t="str">
        <f t="shared" si="533"/>
        <v/>
      </c>
      <c r="AA350" s="50">
        <v>645.5</v>
      </c>
      <c r="AB350" s="51">
        <v>72.126000000000005</v>
      </c>
      <c r="AC350" s="52">
        <f t="shared" si="411"/>
        <v>0.14190815246399413</v>
      </c>
    </row>
    <row r="351" spans="1:29" ht="15.75" thickBot="1">
      <c r="A351" s="66"/>
      <c r="B351" s="47">
        <f t="shared" si="534"/>
        <v>229</v>
      </c>
      <c r="C351" s="570"/>
      <c r="D351" s="575" t="str">
        <f t="shared" si="532"/>
        <v/>
      </c>
      <c r="E351" s="47">
        <f t="shared" si="535"/>
        <v>235</v>
      </c>
      <c r="F351" s="661"/>
      <c r="G351" s="571" t="str">
        <f t="shared" si="533"/>
        <v/>
      </c>
      <c r="AA351" s="50">
        <v>645.4</v>
      </c>
      <c r="AB351" s="51">
        <v>72.144999999999996</v>
      </c>
      <c r="AC351" s="52">
        <f t="shared" si="411"/>
        <v>0.14179376225107729</v>
      </c>
    </row>
    <row r="352" spans="1:29" ht="15.75" thickTop="1">
      <c r="AA352" s="50">
        <v>645.29999999999995</v>
      </c>
      <c r="AB352" s="51">
        <v>72.194999999999993</v>
      </c>
      <c r="AC352" s="52">
        <f t="shared" si="411"/>
        <v>0.14149287926696028</v>
      </c>
    </row>
    <row r="353" spans="3:29">
      <c r="AA353" s="50">
        <v>645.20000000000005</v>
      </c>
      <c r="AB353" s="51">
        <v>72.162999999999997</v>
      </c>
      <c r="AC353" s="52">
        <f t="shared" si="411"/>
        <v>0.14168542036130261</v>
      </c>
    </row>
    <row r="354" spans="3:29">
      <c r="AA354" s="50">
        <v>645.1</v>
      </c>
      <c r="AB354" s="51">
        <v>72.186999999999998</v>
      </c>
      <c r="AC354" s="52">
        <f t="shared" si="411"/>
        <v>0.14154100653848692</v>
      </c>
    </row>
    <row r="355" spans="3:29">
      <c r="AA355" s="50">
        <v>645</v>
      </c>
      <c r="AB355" s="51">
        <v>72.207999999999998</v>
      </c>
      <c r="AC355" s="52">
        <f t="shared" si="411"/>
        <v>0.14141468382392941</v>
      </c>
    </row>
    <row r="356" spans="3:29">
      <c r="AA356" s="50">
        <v>644.9</v>
      </c>
      <c r="AB356" s="51">
        <v>72.244</v>
      </c>
      <c r="AC356" s="52">
        <f t="shared" si="411"/>
        <v>0.14119821604678262</v>
      </c>
    </row>
    <row r="357" spans="3:29">
      <c r="AA357" s="50">
        <v>644.79999999999995</v>
      </c>
      <c r="AB357" s="51">
        <v>72.281000000000006</v>
      </c>
      <c r="AC357" s="52">
        <f t="shared" si="411"/>
        <v>0.14097584765125956</v>
      </c>
    </row>
    <row r="358" spans="3:29">
      <c r="AA358" s="50">
        <v>644.70000000000005</v>
      </c>
      <c r="AB358" s="51">
        <v>72.31</v>
      </c>
      <c r="AC358" s="52">
        <f t="shared" si="411"/>
        <v>0.14080163846612254</v>
      </c>
    </row>
    <row r="359" spans="3:29">
      <c r="D359" s="814" t="s">
        <v>85</v>
      </c>
      <c r="E359" s="814"/>
      <c r="F359" s="814"/>
      <c r="G359" s="814"/>
      <c r="H359" s="814"/>
      <c r="I359" s="814"/>
      <c r="J359" s="814"/>
      <c r="K359" s="814"/>
      <c r="L359" s="814"/>
      <c r="M359" s="814"/>
      <c r="N359" s="814"/>
      <c r="O359" s="814"/>
      <c r="P359" s="814"/>
      <c r="Q359" s="814"/>
      <c r="R359" s="814"/>
      <c r="AA359" s="50">
        <v>644.6</v>
      </c>
      <c r="AB359" s="51">
        <v>72.352999999999994</v>
      </c>
      <c r="AC359" s="52">
        <f t="shared" si="411"/>
        <v>0.14054345685407496</v>
      </c>
    </row>
    <row r="360" spans="3:29">
      <c r="AA360" s="50">
        <v>644.5</v>
      </c>
      <c r="AB360" s="51">
        <v>72.411000000000001</v>
      </c>
      <c r="AC360" s="52">
        <f t="shared" si="411"/>
        <v>0.14019545484669471</v>
      </c>
    </row>
    <row r="361" spans="3:29" ht="19.5" thickBot="1">
      <c r="D361" s="793" t="s">
        <v>71</v>
      </c>
      <c r="E361" s="794"/>
      <c r="F361" s="794"/>
      <c r="G361" s="794"/>
      <c r="H361" s="794"/>
      <c r="I361" s="794"/>
      <c r="J361" s="794"/>
      <c r="K361" s="794"/>
      <c r="L361" s="794"/>
      <c r="M361" s="794"/>
      <c r="N361" s="794"/>
      <c r="O361" s="794"/>
      <c r="P361" s="794"/>
      <c r="Q361" s="794"/>
      <c r="R361" s="794"/>
      <c r="S361" s="795"/>
      <c r="AA361" s="50">
        <v>644.4</v>
      </c>
      <c r="AB361" s="51">
        <v>72.48</v>
      </c>
      <c r="AC361" s="52">
        <f t="shared" si="411"/>
        <v>0.13978181533124334</v>
      </c>
    </row>
    <row r="362" spans="3:29" ht="16.5" thickBot="1">
      <c r="F362" s="581" t="s">
        <v>172</v>
      </c>
      <c r="G362" s="582"/>
      <c r="H362" s="582"/>
      <c r="I362" s="582"/>
      <c r="J362" s="582"/>
      <c r="K362" s="583"/>
      <c r="M362" s="581" t="s">
        <v>173</v>
      </c>
      <c r="N362" s="582"/>
      <c r="O362" s="582"/>
      <c r="P362" s="582"/>
      <c r="Q362" s="582"/>
      <c r="R362" s="583"/>
      <c r="AA362" s="50">
        <v>644.29999999999995</v>
      </c>
      <c r="AB362" s="51">
        <v>72.456999999999994</v>
      </c>
      <c r="AC362" s="52">
        <f t="shared" si="411"/>
        <v>0.13991965140026125</v>
      </c>
    </row>
    <row r="363" spans="3:29">
      <c r="F363" s="85" t="s">
        <v>84</v>
      </c>
      <c r="G363" s="82">
        <v>440</v>
      </c>
      <c r="H363" s="82">
        <v>465</v>
      </c>
      <c r="I363" s="82">
        <v>546.1</v>
      </c>
      <c r="J363" s="82">
        <v>590</v>
      </c>
      <c r="K363" s="83">
        <v>635</v>
      </c>
      <c r="M363" s="87" t="s">
        <v>84</v>
      </c>
      <c r="N363" s="88">
        <v>440</v>
      </c>
      <c r="O363" s="88">
        <v>465</v>
      </c>
      <c r="P363" s="88">
        <v>546.1</v>
      </c>
      <c r="Q363" s="88">
        <v>590</v>
      </c>
      <c r="R363" s="89">
        <v>635</v>
      </c>
      <c r="AA363" s="50">
        <v>644.20000000000005</v>
      </c>
      <c r="AB363" s="51">
        <v>72.507999999999996</v>
      </c>
      <c r="AC363" s="52">
        <f t="shared" si="411"/>
        <v>0.13961407392306527</v>
      </c>
    </row>
    <row r="364" spans="3:29" ht="15.75" thickBot="1">
      <c r="F364" s="84" t="s">
        <v>86</v>
      </c>
      <c r="G364" s="91">
        <f xml:space="preserve"> IF($H$44 &lt; 5, VLOOKUP($F$365,'Cadastro - Padrões Absorbância'!$D$7:$K$9,4,FALSE), IF($H$44 = 5, VLOOKUP($F$365,'Cadastro - Padrões Absorbância'!$D$10:$K$12, 4,FALSE)))</f>
        <v>0.26629999999999998</v>
      </c>
      <c r="H364" s="91">
        <f xml:space="preserve"> IF($H$44 &lt; 5, VLOOKUP($F$365,'Cadastro - Padrões Absorbância'!$D$7:$K$9,5,FALSE), IF($H$44 = 5, VLOOKUP($F$365,'Cadastro - Padrões Absorbância'!$D$10:$K$12, 5,FALSE)))</f>
        <v>0.24030000000000001</v>
      </c>
      <c r="I364" s="91">
        <f xml:space="preserve"> IF($H$44 &lt; 5, VLOOKUP($F$365,'Cadastro - Padrões Absorbância'!$D$7:$K$9,6,FALSE), IF($H$44 = 5, VLOOKUP($F$365,'Cadastro - Padrões Absorbância'!$D$10:$K$12, 6,FALSE)))</f>
        <v>0.24990000000000001</v>
      </c>
      <c r="J364" s="91">
        <f xml:space="preserve"> IF($H$44 &lt; 5, VLOOKUP($F$365,'Cadastro - Padrões Absorbância'!$D$7:$K$9,7,FALSE), IF($H$44 = 5, VLOOKUP($F$365,'Cadastro - Padrões Absorbância'!$D$10:$K$12, 7,FALSE)))</f>
        <v>0.29380000000000001</v>
      </c>
      <c r="K364" s="92">
        <f xml:space="preserve"> IF($H$44 &lt; 5, VLOOKUP($F$365,'Cadastro - Padrões Absorbância'!$D$7:$K$9,8,FALSE), IF($H$44 = 5, VLOOKUP($F$365,'Cadastro - Padrões Absorbância'!$D$10:$K$12, 8,FALSE)))</f>
        <v>0.30159999999999998</v>
      </c>
      <c r="M364" s="84" t="s">
        <v>86</v>
      </c>
      <c r="N364" s="91">
        <f>G364</f>
        <v>0.26629999999999998</v>
      </c>
      <c r="O364" s="91">
        <f t="shared" ref="O364:R364" si="536">H364</f>
        <v>0.24030000000000001</v>
      </c>
      <c r="P364" s="91">
        <f t="shared" si="536"/>
        <v>0.24990000000000001</v>
      </c>
      <c r="Q364" s="91">
        <f t="shared" si="536"/>
        <v>0.29380000000000001</v>
      </c>
      <c r="R364" s="92">
        <f t="shared" si="536"/>
        <v>0.30159999999999998</v>
      </c>
      <c r="AA364" s="50">
        <v>644.1</v>
      </c>
      <c r="AB364" s="51">
        <v>72.477999999999994</v>
      </c>
      <c r="AC364" s="52">
        <f t="shared" si="411"/>
        <v>0.13979379933990602</v>
      </c>
    </row>
    <row r="365" spans="3:29">
      <c r="F365" s="719" t="s">
        <v>45</v>
      </c>
      <c r="G365" s="123">
        <v>0.26800000000000002</v>
      </c>
      <c r="H365" s="123">
        <v>0.249</v>
      </c>
      <c r="I365" s="124">
        <v>0.25</v>
      </c>
      <c r="J365" s="123">
        <v>0.29199999999999998</v>
      </c>
      <c r="K365" s="125">
        <v>0.30199999999999999</v>
      </c>
      <c r="M365" s="262" t="s">
        <v>100</v>
      </c>
      <c r="N365" s="134">
        <f>IF(ISNUMBER(G365),COUNTA(G365:G365,G366:G366,G367:G367,G368:G368),"")</f>
        <v>4</v>
      </c>
      <c r="O365" s="134">
        <f>IF(ISNUMBER(H365),COUNTA(H365:H365,H366:H366,H367:H367,H368:H368),"")</f>
        <v>4</v>
      </c>
      <c r="P365" s="134">
        <f>IF(ISNUMBER(I365),COUNTA(I365:I365,I366:I366,I367:I367,I368:I368),"")</f>
        <v>4</v>
      </c>
      <c r="Q365" s="134">
        <f>IF(ISNUMBER(J365),COUNTA(J365:J365,J366:J366,J367:J367,J368:J368),"")</f>
        <v>4</v>
      </c>
      <c r="R365" s="135">
        <f>IF(ISNUMBER(K365),COUNTA(K365:K365,K366:K366,K367:K367,K368:K368),"")</f>
        <v>4</v>
      </c>
      <c r="AA365" s="50">
        <v>644</v>
      </c>
      <c r="AB365" s="51">
        <v>72.451999999999998</v>
      </c>
      <c r="AC365" s="52">
        <f t="shared" si="411"/>
        <v>0.13994962155270696</v>
      </c>
    </row>
    <row r="366" spans="3:29" ht="15.75" thickBot="1">
      <c r="F366" s="579"/>
      <c r="G366" s="33">
        <v>0.26500000000000001</v>
      </c>
      <c r="H366" s="33">
        <v>0.247</v>
      </c>
      <c r="I366" s="94">
        <v>0.25</v>
      </c>
      <c r="J366" s="33">
        <v>0.29299999999999998</v>
      </c>
      <c r="K366" s="126">
        <v>0.30199999999999999</v>
      </c>
      <c r="M366" s="263" t="s">
        <v>97</v>
      </c>
      <c r="N366" s="136">
        <f>IF(ISNUMBER(G365),AVERAGE(G365:G368),"")</f>
        <v>0.26724999999999999</v>
      </c>
      <c r="O366" s="136">
        <f>IF(ISNUMBER(H365),AVERAGE(H365:H368),"")</f>
        <v>0.24775</v>
      </c>
      <c r="P366" s="136">
        <f>IF(ISNUMBER(I365),AVERAGE(I365:I368),"")</f>
        <v>0.24975</v>
      </c>
      <c r="Q366" s="136">
        <f>IF(ISNUMBER(J365),AVERAGE(J365:J368),"")</f>
        <v>0.29174999999999995</v>
      </c>
      <c r="R366" s="137">
        <f>IF(ISNUMBER(K365),AVERAGE(K365:K368),"")</f>
        <v>0.30124999999999996</v>
      </c>
      <c r="AA366" s="50">
        <v>643.9</v>
      </c>
      <c r="AB366" s="51">
        <v>72.456999999999994</v>
      </c>
      <c r="AC366" s="52">
        <f t="shared" si="411"/>
        <v>0.13991965140026125</v>
      </c>
    </row>
    <row r="367" spans="3:29" ht="15.75" thickBot="1">
      <c r="C367" t="s">
        <v>216</v>
      </c>
      <c r="D367">
        <v>25.6</v>
      </c>
      <c r="F367" s="579"/>
      <c r="G367" s="94">
        <v>0.27</v>
      </c>
      <c r="H367" s="33">
        <v>0.247</v>
      </c>
      <c r="I367" s="94">
        <v>0.249</v>
      </c>
      <c r="J367" s="33">
        <v>0.29099999999999998</v>
      </c>
      <c r="K367" s="131">
        <v>0.3</v>
      </c>
      <c r="M367" s="264" t="s">
        <v>174</v>
      </c>
      <c r="N367" s="86">
        <f>IF(ISNUMBER(G370),AVERAGE(G370:G373),"")</f>
        <v>0</v>
      </c>
      <c r="O367" s="86">
        <f>IF(ISNUMBER(H370),AVERAGE(H370:H373),"")</f>
        <v>0</v>
      </c>
      <c r="P367" s="86">
        <f>IF(ISNUMBER(I370),AVERAGE(I370:I373),"")</f>
        <v>0</v>
      </c>
      <c r="Q367" s="86">
        <f>IF(ISNUMBER(J370),AVERAGE(J370:J373),"")</f>
        <v>0</v>
      </c>
      <c r="R367" s="93">
        <f>IF(ISNUMBER(K370),AVERAGE(K370:K373),"")</f>
        <v>0</v>
      </c>
      <c r="AA367" s="50">
        <v>643.79999999999995</v>
      </c>
      <c r="AB367" s="51">
        <v>72.430999999999997</v>
      </c>
      <c r="AC367" s="52">
        <f t="shared" si="411"/>
        <v>0.14007551878266264</v>
      </c>
    </row>
    <row r="368" spans="3:29" ht="15.75" thickBot="1">
      <c r="F368" s="579"/>
      <c r="G368" s="127">
        <v>0.26600000000000001</v>
      </c>
      <c r="H368" s="127">
        <v>0.248</v>
      </c>
      <c r="I368" s="132">
        <v>0.25</v>
      </c>
      <c r="J368" s="127">
        <v>0.29099999999999998</v>
      </c>
      <c r="K368" s="128">
        <v>0.30099999999999999</v>
      </c>
      <c r="M368" s="264" t="s">
        <v>98</v>
      </c>
      <c r="N368" s="138">
        <f>IF(ISNUMBER(N367),IF(ISNUMBER(N366),N366-N367,""),"")</f>
        <v>0.26724999999999999</v>
      </c>
      <c r="O368" s="138">
        <f>IF(ISNUMBER(O367),IF(ISNUMBER(O366),O366-O367,""),"")</f>
        <v>0.24775</v>
      </c>
      <c r="P368" s="138">
        <f>IF(ISNUMBER(P367),IF(ISNUMBER(P366),P366-P367,""),"")</f>
        <v>0.24975</v>
      </c>
      <c r="Q368" s="138">
        <f>IF(ISNUMBER(Q367),IF(ISNUMBER(Q366),Q366-Q367,""),"")</f>
        <v>0.29174999999999995</v>
      </c>
      <c r="R368" s="139">
        <f>IF(ISNUMBER(R367),IF(ISNUMBER(R366),R366-R367,""),"")</f>
        <v>0.30124999999999996</v>
      </c>
      <c r="AA368" s="50">
        <v>643.70000000000005</v>
      </c>
      <c r="AB368" s="51">
        <v>72.445999999999998</v>
      </c>
      <c r="AC368" s="52">
        <f t="shared" si="411"/>
        <v>0.13998558846588599</v>
      </c>
    </row>
    <row r="369" spans="6:29" ht="16.5" thickBot="1">
      <c r="F369" s="579"/>
      <c r="G369" s="584" t="s">
        <v>171</v>
      </c>
      <c r="H369" s="582"/>
      <c r="I369" s="582"/>
      <c r="J369" s="582"/>
      <c r="K369" s="583"/>
      <c r="M369" s="263" t="s">
        <v>99</v>
      </c>
      <c r="N369" s="138">
        <f xml:space="preserve"> IF(ISNUMBER(N368),N368 - G364,"")</f>
        <v>9.5000000000000639E-4</v>
      </c>
      <c r="O369" s="138">
        <f xml:space="preserve"> IF(ISNUMBER(O368),O368 - H364,"")</f>
        <v>7.4499999999999844E-3</v>
      </c>
      <c r="P369" s="138">
        <f xml:space="preserve"> IF(ISNUMBER(P368),P368 - I364,"")</f>
        <v>-1.5000000000001124E-4</v>
      </c>
      <c r="Q369" s="138">
        <f xml:space="preserve"> IF(ISNUMBER(Q368),Q368 - J364,"")</f>
        <v>-2.0500000000000518E-3</v>
      </c>
      <c r="R369" s="139">
        <f xml:space="preserve"> IF(ISNUMBER(R368),R368 - K364,"")</f>
        <v>-3.5000000000001696E-4</v>
      </c>
      <c r="AA369" s="50">
        <v>643.6</v>
      </c>
      <c r="AB369" s="51">
        <v>72.456999999999994</v>
      </c>
      <c r="AC369" s="52">
        <f t="shared" si="411"/>
        <v>0.13991965140026125</v>
      </c>
    </row>
    <row r="370" spans="6:29" ht="15.75" thickBot="1">
      <c r="F370" s="579"/>
      <c r="G370" s="94">
        <v>0</v>
      </c>
      <c r="H370" s="94">
        <v>0</v>
      </c>
      <c r="I370" s="94">
        <v>0</v>
      </c>
      <c r="J370" s="94">
        <v>0</v>
      </c>
      <c r="K370" s="131">
        <v>0</v>
      </c>
      <c r="M370" s="265" t="s">
        <v>101</v>
      </c>
      <c r="N370" s="140">
        <f>IF(ISNUMBER(N368),SQRT(DEVSQ(G365:G368)/(N365-1)),"")</f>
        <v>2.2173557826083473E-3</v>
      </c>
      <c r="O370" s="140">
        <f>IF(ISNUMBER(O368),SQRT(DEVSQ(H365:H368)/(O365-1)),"")</f>
        <v>9.5742710775633896E-4</v>
      </c>
      <c r="P370" s="140">
        <f>IF(ISNUMBER(P368),SQRT(DEVSQ(I365:I368)/(P365-1)),"")</f>
        <v>5.0000000000000044E-4</v>
      </c>
      <c r="Q370" s="140">
        <f>IF(ISNUMBER(Q368),SQRT(DEVSQ(J365:J368)/(Q365-1)),"")</f>
        <v>9.5742710775633896E-4</v>
      </c>
      <c r="R370" s="140">
        <f>IF(ISNUMBER(R368),SQRT(DEVSQ(K365:K368)/(R365-1)),"")</f>
        <v>9.5742710775633896E-4</v>
      </c>
      <c r="AA370" s="50">
        <v>643.5</v>
      </c>
      <c r="AB370" s="51">
        <v>72.495999999999995</v>
      </c>
      <c r="AC370" s="52">
        <f t="shared" si="411"/>
        <v>0.13968595516488946</v>
      </c>
    </row>
    <row r="371" spans="6:29">
      <c r="F371" s="579"/>
      <c r="G371" s="94">
        <v>0</v>
      </c>
      <c r="H371" s="94">
        <v>0</v>
      </c>
      <c r="I371" s="94">
        <v>0</v>
      </c>
      <c r="J371" s="94">
        <v>0</v>
      </c>
      <c r="K371" s="131">
        <v>0</v>
      </c>
      <c r="AA371" s="50">
        <v>643.4</v>
      </c>
      <c r="AB371" s="51">
        <v>72.462999999999994</v>
      </c>
      <c r="AC371" s="52">
        <f t="shared" si="411"/>
        <v>0.13988368994714359</v>
      </c>
    </row>
    <row r="372" spans="6:29">
      <c r="F372" s="579"/>
      <c r="G372" s="94">
        <v>0</v>
      </c>
      <c r="H372" s="94">
        <v>0</v>
      </c>
      <c r="I372" s="94">
        <v>0</v>
      </c>
      <c r="J372" s="94">
        <v>0</v>
      </c>
      <c r="K372" s="131">
        <v>0</v>
      </c>
      <c r="AA372" s="50">
        <v>643.29999999999995</v>
      </c>
      <c r="AB372" s="51">
        <v>72.403999999999996</v>
      </c>
      <c r="AC372" s="52">
        <f t="shared" si="411"/>
        <v>0.14023744029538016</v>
      </c>
    </row>
    <row r="373" spans="6:29" ht="15.75" thickBot="1">
      <c r="F373" s="580"/>
      <c r="G373" s="132">
        <v>0</v>
      </c>
      <c r="H373" s="132">
        <v>0</v>
      </c>
      <c r="I373" s="132">
        <v>0</v>
      </c>
      <c r="J373" s="132">
        <v>0</v>
      </c>
      <c r="K373" s="133">
        <v>0</v>
      </c>
      <c r="AA373" s="50">
        <v>643.20000000000005</v>
      </c>
      <c r="AB373" s="51">
        <v>72.397999999999996</v>
      </c>
      <c r="AC373" s="52">
        <f t="shared" si="411"/>
        <v>0.14027343105369722</v>
      </c>
    </row>
    <row r="374" spans="6:29" ht="15.75" thickBot="1">
      <c r="AA374" s="50">
        <v>643.1</v>
      </c>
      <c r="AB374" s="51">
        <v>72.36</v>
      </c>
      <c r="AC374" s="52">
        <f t="shared" si="411"/>
        <v>0.14050144181222385</v>
      </c>
    </row>
    <row r="375" spans="6:29" ht="16.5" thickBot="1">
      <c r="F375" s="581" t="s">
        <v>172</v>
      </c>
      <c r="G375" s="582"/>
      <c r="H375" s="582"/>
      <c r="I375" s="582"/>
      <c r="J375" s="582"/>
      <c r="K375" s="583"/>
      <c r="M375" s="581" t="s">
        <v>173</v>
      </c>
      <c r="N375" s="582"/>
      <c r="O375" s="582"/>
      <c r="P375" s="582"/>
      <c r="Q375" s="582"/>
      <c r="R375" s="583"/>
      <c r="AA375" s="50">
        <v>643</v>
      </c>
      <c r="AB375" s="51">
        <v>72.254999999999995</v>
      </c>
      <c r="AC375" s="52">
        <f t="shared" si="411"/>
        <v>0.14113209462988477</v>
      </c>
    </row>
    <row r="376" spans="6:29">
      <c r="F376" s="85" t="s">
        <v>84</v>
      </c>
      <c r="G376" s="82">
        <v>440</v>
      </c>
      <c r="H376" s="82">
        <v>465</v>
      </c>
      <c r="I376" s="82">
        <v>546.1</v>
      </c>
      <c r="J376" s="82">
        <v>590</v>
      </c>
      <c r="K376" s="83">
        <v>635</v>
      </c>
      <c r="M376" s="87" t="s">
        <v>84</v>
      </c>
      <c r="N376" s="88">
        <v>440</v>
      </c>
      <c r="O376" s="88">
        <v>465</v>
      </c>
      <c r="P376" s="88">
        <v>546.1</v>
      </c>
      <c r="Q376" s="88">
        <v>590</v>
      </c>
      <c r="R376" s="89">
        <v>635</v>
      </c>
      <c r="AA376" s="50">
        <v>642.9</v>
      </c>
      <c r="AB376" s="51">
        <v>72.126000000000005</v>
      </c>
      <c r="AC376" s="52">
        <f t="shared" si="411"/>
        <v>0.14190815246399413</v>
      </c>
    </row>
    <row r="377" spans="6:29" ht="15.75" thickBot="1">
      <c r="F377" s="84" t="s">
        <v>86</v>
      </c>
      <c r="G377" s="91">
        <f xml:space="preserve"> IF($H$44 &lt; 5, VLOOKUP($F$378,'Cadastro - Padrões Absorbância'!$D$7:$K$9,4,FALSE), IF($H$44 = 5, VLOOKUP($F$378,'Cadastro - Padrões Absorbância'!$D$10:$K$12, 4,FALSE)))</f>
        <v>0.55200000000000005</v>
      </c>
      <c r="H377" s="91">
        <f xml:space="preserve"> IF($H$44 &lt; 5, VLOOKUP($F$378,'Cadastro - Padrões Absorbância'!$D$7:$K$9,5,FALSE), IF($H$44 = 5, VLOOKUP($F$378,'Cadastro - Padrões Absorbância'!$D$10:$K$12, 5,FALSE)))</f>
        <v>0.51339999999999997</v>
      </c>
      <c r="I377" s="91">
        <f xml:space="preserve"> IF($H$44 &lt; 5, VLOOKUP($F$378,'Cadastro - Padrões Absorbância'!$D$7:$K$9,6,FALSE), IF($H$44 = 5, VLOOKUP($F$378,'Cadastro - Padrões Absorbância'!$D$10:$K$12, 6,FALSE)))</f>
        <v>0.51170000000000004</v>
      </c>
      <c r="J377" s="91">
        <f xml:space="preserve"> IF($H$44 &lt; 5, VLOOKUP($F$378,'Cadastro - Padrões Absorbância'!$D$7:$K$9,7,FALSE), IF($H$44 = 5, VLOOKUP($F$378,'Cadastro - Padrões Absorbância'!$D$10:$K$12, 7,FALSE)))</f>
        <v>0.54500000000000004</v>
      </c>
      <c r="K377" s="92">
        <f xml:space="preserve"> IF($H$44 &lt; 5, VLOOKUP($F$378,'Cadastro - Padrões Absorbância'!$D$7:$K$9,8,FALSE), IF($H$44 = 5, VLOOKUP($F$378,'Cadastro - Padrões Absorbância'!$D$10:$K$12, 8,FALSE)))</f>
        <v>0.55230000000000001</v>
      </c>
      <c r="M377" s="84" t="s">
        <v>86</v>
      </c>
      <c r="N377" s="91">
        <f>G377</f>
        <v>0.55200000000000005</v>
      </c>
      <c r="O377" s="91">
        <f>H377</f>
        <v>0.51339999999999997</v>
      </c>
      <c r="P377" s="91">
        <f>I377</f>
        <v>0.51170000000000004</v>
      </c>
      <c r="Q377" s="91">
        <f>J377</f>
        <v>0.54500000000000004</v>
      </c>
      <c r="R377" s="92">
        <f>K377</f>
        <v>0.55230000000000001</v>
      </c>
      <c r="AA377" s="50">
        <v>642.79999999999995</v>
      </c>
      <c r="AB377" s="51">
        <v>72.040999999999997</v>
      </c>
      <c r="AC377" s="52">
        <f t="shared" si="411"/>
        <v>0.14242026737571817</v>
      </c>
    </row>
    <row r="378" spans="6:29">
      <c r="F378" s="719" t="s">
        <v>69</v>
      </c>
      <c r="G378" s="124">
        <v>0.55600000000000005</v>
      </c>
      <c r="H378" s="124">
        <v>0.52100000000000002</v>
      </c>
      <c r="I378" s="124">
        <v>0.51200000000000001</v>
      </c>
      <c r="J378" s="124">
        <v>0.54500000000000004</v>
      </c>
      <c r="K378" s="130">
        <v>0.55600000000000005</v>
      </c>
      <c r="M378" s="262" t="s">
        <v>100</v>
      </c>
      <c r="N378" s="134">
        <f>IF(ISNUMBER(G378),COUNTA(G378:G378,G379:G379,G380:G380,G381:G381),"")</f>
        <v>4</v>
      </c>
      <c r="O378" s="134">
        <f>IF(ISNUMBER(H378),COUNTA(H378:H378,H379:H379,H380:H380,H381:H381),"")</f>
        <v>4</v>
      </c>
      <c r="P378" s="134">
        <f>IF(ISNUMBER(I378),COUNTA(I378:I378,I379:I379,I380:I380,I381:I381),"")</f>
        <v>4</v>
      </c>
      <c r="Q378" s="134">
        <f>IF(ISNUMBER(J378),COUNTA(J378:J378,J379:J379,J380:J380,J381:J381),"")</f>
        <v>4</v>
      </c>
      <c r="R378" s="135">
        <f>IF(ISNUMBER(K378),COUNTA(K378:K378,K379:K379,K380:K380,K381:K381),"")</f>
        <v>4</v>
      </c>
      <c r="AA378" s="50">
        <v>642.70000000000005</v>
      </c>
      <c r="AB378" s="51">
        <v>71.923000000000002</v>
      </c>
      <c r="AC378" s="52">
        <f t="shared" si="411"/>
        <v>0.14313220592064427</v>
      </c>
    </row>
    <row r="379" spans="6:29">
      <c r="F379" s="579"/>
      <c r="G379" s="94">
        <v>0.55500000000000005</v>
      </c>
      <c r="H379" s="94">
        <v>0.52100000000000002</v>
      </c>
      <c r="I379" s="94">
        <v>0.51200000000000001</v>
      </c>
      <c r="J379" s="94">
        <v>0.54600000000000004</v>
      </c>
      <c r="K379" s="131">
        <v>0.55300000000000005</v>
      </c>
      <c r="M379" s="263" t="s">
        <v>97</v>
      </c>
      <c r="N379" s="136">
        <f>IF(ISNUMBER(G378),AVERAGE(G378:G381),"")</f>
        <v>0.55490000000000006</v>
      </c>
      <c r="O379" s="136">
        <f>IF(ISNUMBER(H378),AVERAGE(H378:H381),"")</f>
        <v>0.52166666666666661</v>
      </c>
      <c r="P379" s="136">
        <f>IF(ISNUMBER(I378),AVERAGE(I378:I381),"")</f>
        <v>0.51249999999999996</v>
      </c>
      <c r="Q379" s="136">
        <f>IF(ISNUMBER(J378),AVERAGE(J378:J381),"")</f>
        <v>0.54425000000000012</v>
      </c>
      <c r="R379" s="137">
        <f>IF(ISNUMBER(K378),AVERAGE(K378:K381),"")</f>
        <v>0.55374999999999996</v>
      </c>
      <c r="AA379" s="50">
        <v>642.6</v>
      </c>
      <c r="AB379" s="51">
        <v>71.796999999999997</v>
      </c>
      <c r="AC379" s="52">
        <f t="shared" si="411"/>
        <v>0.14389370214579827</v>
      </c>
    </row>
    <row r="380" spans="6:29">
      <c r="F380" s="579"/>
      <c r="G380" s="94">
        <v>0.55559999999999998</v>
      </c>
      <c r="H380" s="94">
        <v>0.52300000000000002</v>
      </c>
      <c r="I380" s="94">
        <v>0.51300000000000001</v>
      </c>
      <c r="J380" s="94">
        <v>0.54200000000000004</v>
      </c>
      <c r="K380" s="131">
        <v>0.55200000000000005</v>
      </c>
      <c r="M380" s="264" t="s">
        <v>174</v>
      </c>
      <c r="N380" s="138">
        <f>IF(ISNUMBER(G383),AVERAGE(G383:G386),"")</f>
        <v>0</v>
      </c>
      <c r="O380" s="138">
        <f>IF(ISNUMBER(H383),AVERAGE(H383:H386),"")</f>
        <v>0</v>
      </c>
      <c r="P380" s="138">
        <f>IF(ISNUMBER(I383),AVERAGE(I383:I386),"")</f>
        <v>0</v>
      </c>
      <c r="Q380" s="138">
        <f>IF(ISNUMBER(J383),AVERAGE(J383:J386),"")</f>
        <v>0</v>
      </c>
      <c r="R380" s="139">
        <f>IF(ISNUMBER(K383),AVERAGE(K383:K386),"")</f>
        <v>0</v>
      </c>
      <c r="AA380" s="50">
        <v>642.5</v>
      </c>
      <c r="AB380" s="51">
        <v>71.697999999999993</v>
      </c>
      <c r="AC380" s="52">
        <f t="shared" si="411"/>
        <v>0.14449295871264961</v>
      </c>
    </row>
    <row r="381" spans="6:29" ht="15.75" thickBot="1">
      <c r="F381" s="579"/>
      <c r="G381" s="132">
        <v>0.55300000000000005</v>
      </c>
      <c r="H381" s="132" t="s">
        <v>353</v>
      </c>
      <c r="I381" s="132">
        <v>0.51300000000000001</v>
      </c>
      <c r="J381" s="132">
        <v>0.54400000000000004</v>
      </c>
      <c r="K381" s="133">
        <v>0.55400000000000005</v>
      </c>
      <c r="M381" s="264" t="s">
        <v>98</v>
      </c>
      <c r="N381" s="138">
        <f>IF(ISNUMBER(N380),IF(ISNUMBER(N379),N379-N380,""),"")</f>
        <v>0.55490000000000006</v>
      </c>
      <c r="O381" s="138">
        <f t="shared" ref="O381:R381" si="537">IF(ISNUMBER(O380),IF(ISNUMBER(O379),O379-O380,""),"")</f>
        <v>0.52166666666666661</v>
      </c>
      <c r="P381" s="138">
        <f t="shared" si="537"/>
        <v>0.51249999999999996</v>
      </c>
      <c r="Q381" s="138">
        <f t="shared" si="537"/>
        <v>0.54425000000000012</v>
      </c>
      <c r="R381" s="139">
        <f t="shared" si="537"/>
        <v>0.55374999999999996</v>
      </c>
      <c r="AA381" s="50">
        <v>642.4</v>
      </c>
      <c r="AB381" s="51">
        <v>71.613</v>
      </c>
      <c r="AC381" s="52">
        <f t="shared" si="411"/>
        <v>0.14500813249959557</v>
      </c>
    </row>
    <row r="382" spans="6:29" ht="16.5" thickBot="1">
      <c r="F382" s="579"/>
      <c r="G382" s="584" t="s">
        <v>171</v>
      </c>
      <c r="H382" s="582"/>
      <c r="I382" s="582"/>
      <c r="J382" s="582"/>
      <c r="K382" s="583"/>
      <c r="M382" s="263" t="s">
        <v>99</v>
      </c>
      <c r="N382" s="138">
        <f xml:space="preserve"> IF(ISNUMBER(N381),N381 - G377,"")</f>
        <v>2.9000000000000137E-3</v>
      </c>
      <c r="O382" s="138">
        <f xml:space="preserve"> IF(ISNUMBER(O381),O381 - H377,"")</f>
        <v>8.2666666666666444E-3</v>
      </c>
      <c r="P382" s="138">
        <f xml:space="preserve"> IF(ISNUMBER(P381),P381 - I377,"")</f>
        <v>7.9999999999991189E-4</v>
      </c>
      <c r="Q382" s="138">
        <f xml:space="preserve"> IF(ISNUMBER(Q381),Q381 - J377,"")</f>
        <v>-7.499999999999174E-4</v>
      </c>
      <c r="R382" s="139">
        <f xml:space="preserve"> IF(ISNUMBER(R381),R381 - K377,"")</f>
        <v>1.4499999999999513E-3</v>
      </c>
      <c r="AA382" s="50">
        <v>642.29999999999995</v>
      </c>
      <c r="AB382" s="51">
        <v>71.492000000000004</v>
      </c>
      <c r="AC382" s="52">
        <f t="shared" si="411"/>
        <v>0.14574255330716113</v>
      </c>
    </row>
    <row r="383" spans="6:29" ht="15.75" thickBot="1">
      <c r="F383" s="579"/>
      <c r="G383" s="124">
        <v>0</v>
      </c>
      <c r="H383" s="124">
        <v>0</v>
      </c>
      <c r="I383" s="124">
        <v>0</v>
      </c>
      <c r="J383" s="124">
        <v>0</v>
      </c>
      <c r="K383" s="130">
        <v>0</v>
      </c>
      <c r="M383" s="265" t="s">
        <v>101</v>
      </c>
      <c r="N383" s="140">
        <f>IF(ISNUMBER(N381),SQRT(DEVSQ(G378:G381)/(N378-1)),"")</f>
        <v>1.3316656236958681E-3</v>
      </c>
      <c r="O383" s="140">
        <f>IF(ISNUMBER(O381),SQRT(DEVSQ(H378:H381)/(O378-1)),"")</f>
        <v>9.4280904158206415E-4</v>
      </c>
      <c r="P383" s="140">
        <f>IF(ISNUMBER(P381),SQRT(DEVSQ(I378:I381)/(P378-1)),"")</f>
        <v>5.7735026918962634E-4</v>
      </c>
      <c r="Q383" s="140">
        <f>IF(ISNUMBER(Q381),SQRT(DEVSQ(J378:J381)/(Q378-1)),"")</f>
        <v>1.7078251276599345E-3</v>
      </c>
      <c r="R383" s="261">
        <f>IF(ISNUMBER(R381),SQRT(DEVSQ(K378:K381)/(R378-1)),"")</f>
        <v>1.7078251276599345E-3</v>
      </c>
      <c r="AA383" s="50">
        <v>642.20000000000005</v>
      </c>
      <c r="AB383" s="51">
        <v>71.322000000000003</v>
      </c>
      <c r="AC383" s="52">
        <f t="shared" si="411"/>
        <v>0.14677648691023767</v>
      </c>
    </row>
    <row r="384" spans="6:29">
      <c r="F384" s="579"/>
      <c r="G384" s="94">
        <v>0</v>
      </c>
      <c r="H384" s="94">
        <v>0</v>
      </c>
      <c r="I384" s="94">
        <v>0</v>
      </c>
      <c r="J384" s="94">
        <v>0</v>
      </c>
      <c r="K384" s="131">
        <v>0</v>
      </c>
      <c r="AA384" s="50">
        <v>642.1</v>
      </c>
      <c r="AB384" s="51">
        <v>71.177999999999997</v>
      </c>
      <c r="AC384" s="52">
        <f t="shared" si="411"/>
        <v>0.147654219214538</v>
      </c>
    </row>
    <row r="385" spans="3:29">
      <c r="F385" s="579"/>
      <c r="G385" s="94">
        <v>0</v>
      </c>
      <c r="H385" s="94">
        <v>0</v>
      </c>
      <c r="I385" s="94">
        <v>0</v>
      </c>
      <c r="J385" s="94">
        <v>0</v>
      </c>
      <c r="K385" s="131">
        <v>0</v>
      </c>
      <c r="AA385" s="50">
        <v>642</v>
      </c>
      <c r="AB385" s="51">
        <v>71.007000000000005</v>
      </c>
      <c r="AC385" s="52">
        <f t="shared" si="411"/>
        <v>0.14869883562569941</v>
      </c>
    </row>
    <row r="386" spans="3:29" ht="15.75" thickBot="1">
      <c r="F386" s="580"/>
      <c r="G386" s="132">
        <v>0</v>
      </c>
      <c r="H386" s="132">
        <v>0</v>
      </c>
      <c r="I386" s="132">
        <v>0</v>
      </c>
      <c r="J386" s="132">
        <v>0</v>
      </c>
      <c r="K386" s="133">
        <v>0</v>
      </c>
      <c r="AA386" s="50">
        <v>641.9</v>
      </c>
      <c r="AB386" s="51">
        <v>70.805999999999997</v>
      </c>
      <c r="AC386" s="52">
        <f t="shared" si="411"/>
        <v>0.1499299392525501</v>
      </c>
    </row>
    <row r="387" spans="3:29" ht="15.75" thickBot="1">
      <c r="AA387" s="50">
        <v>641.79999999999995</v>
      </c>
      <c r="AB387" s="51">
        <v>70.632000000000005</v>
      </c>
      <c r="AC387" s="52">
        <f t="shared" si="411"/>
        <v>0.150998496188783</v>
      </c>
    </row>
    <row r="388" spans="3:29" ht="16.5" thickBot="1">
      <c r="F388" s="581" t="s">
        <v>172</v>
      </c>
      <c r="G388" s="582"/>
      <c r="H388" s="582"/>
      <c r="I388" s="582"/>
      <c r="J388" s="582"/>
      <c r="K388" s="583"/>
      <c r="M388" s="581" t="s">
        <v>173</v>
      </c>
      <c r="N388" s="582"/>
      <c r="O388" s="582"/>
      <c r="P388" s="582"/>
      <c r="Q388" s="582"/>
      <c r="R388" s="583"/>
      <c r="AA388" s="50">
        <v>641.70000000000005</v>
      </c>
      <c r="AB388" s="51">
        <v>70.397000000000006</v>
      </c>
      <c r="AC388" s="52">
        <f t="shared" si="411"/>
        <v>0.15244584811934794</v>
      </c>
    </row>
    <row r="389" spans="3:29">
      <c r="F389" s="87" t="s">
        <v>84</v>
      </c>
      <c r="G389" s="88">
        <v>440</v>
      </c>
      <c r="H389" s="88">
        <v>465</v>
      </c>
      <c r="I389" s="88">
        <v>546.1</v>
      </c>
      <c r="J389" s="88">
        <v>590</v>
      </c>
      <c r="K389" s="89">
        <v>635</v>
      </c>
      <c r="M389" s="87" t="s">
        <v>84</v>
      </c>
      <c r="N389" s="88">
        <v>440</v>
      </c>
      <c r="O389" s="88">
        <v>465</v>
      </c>
      <c r="P389" s="88">
        <v>546.1</v>
      </c>
      <c r="Q389" s="88">
        <v>590</v>
      </c>
      <c r="R389" s="89">
        <v>635</v>
      </c>
      <c r="AA389" s="50">
        <v>641.6</v>
      </c>
      <c r="AB389" s="51">
        <v>70.188000000000002</v>
      </c>
      <c r="AC389" s="52">
        <f t="shared" si="411"/>
        <v>0.15373713258905286</v>
      </c>
    </row>
    <row r="390" spans="3:29" ht="15.75" thickBot="1">
      <c r="F390" s="90" t="s">
        <v>86</v>
      </c>
      <c r="G390" s="91">
        <f xml:space="preserve"> IF($H$44 &lt; 5, VLOOKUP($F$391,'Cadastro - Padrões Absorbância'!$D$7:$K$9,4,FALSE), IF($H$44 = 5, VLOOKUP($F$391,'Cadastro - Padrões Absorbância'!$D$10:$K$12, 4,FALSE)))</f>
        <v>1.0061</v>
      </c>
      <c r="H390" s="91">
        <f xml:space="preserve"> IF($H$44 &lt; 5, VLOOKUP($F$391,'Cadastro - Padrões Absorbância'!$D$7:$K$9,5,FALSE), IF($H$44 = 5, VLOOKUP($F$391,'Cadastro - Padrões Absorbância'!$D$10:$K$12, 5,FALSE)))</f>
        <v>0.95569999999999999</v>
      </c>
      <c r="I390" s="91">
        <f xml:space="preserve"> IF($H$44 &lt; 5, VLOOKUP($F$391,'Cadastro - Padrões Absorbância'!$D$7:$K$9,6,FALSE), IF($H$44 = 5, VLOOKUP($F$391,'Cadastro - Padrões Absorbância'!$D$10:$K$12, 6,FALSE)))</f>
        <v>1.0014000000000001</v>
      </c>
      <c r="J390" s="91">
        <f xml:space="preserve"> IF($H$44 &lt; 5, VLOOKUP($F$391,'Cadastro - Padrões Absorbância'!$D$7:$K$9,7,FALSE), IF($H$44 = 5, VLOOKUP($F$391,'Cadastro - Padrões Absorbância'!$D$10:$K$12, 7,FALSE)))</f>
        <v>1.0978000000000001</v>
      </c>
      <c r="K390" s="92">
        <f xml:space="preserve"> IF($H$44 &lt; 5, VLOOKUP($F$391,'Cadastro - Padrões Absorbância'!$D$7:$K$9,8,FALSE), IF($H$44 = 5, VLOOKUP($F$391,'Cadastro - Padrões Absorbância'!$D$10:$K$12, 8,FALSE)))</f>
        <v>1.0900000000000001</v>
      </c>
      <c r="M390" s="90" t="s">
        <v>86</v>
      </c>
      <c r="N390" s="91">
        <f>G390</f>
        <v>1.0061</v>
      </c>
      <c r="O390" s="91">
        <f>H390</f>
        <v>0.95569999999999999</v>
      </c>
      <c r="P390" s="91">
        <f>I390</f>
        <v>1.0014000000000001</v>
      </c>
      <c r="Q390" s="91">
        <f>J390</f>
        <v>1.0978000000000001</v>
      </c>
      <c r="R390" s="92">
        <f>K390</f>
        <v>1.0900000000000001</v>
      </c>
      <c r="AA390" s="50">
        <v>641.5</v>
      </c>
      <c r="AB390" s="51">
        <v>69.965999999999994</v>
      </c>
      <c r="AC390" s="52">
        <f t="shared" si="411"/>
        <v>0.15511295426542754</v>
      </c>
    </row>
    <row r="391" spans="3:29">
      <c r="F391" s="719" t="s">
        <v>68</v>
      </c>
      <c r="G391" s="123">
        <v>1.008</v>
      </c>
      <c r="H391" s="124">
        <v>0.96199999999999997</v>
      </c>
      <c r="I391" s="123">
        <v>0.999</v>
      </c>
      <c r="J391" s="124">
        <v>1.0900000000000001</v>
      </c>
      <c r="K391" s="125">
        <v>1.087</v>
      </c>
      <c r="M391" s="262" t="s">
        <v>100</v>
      </c>
      <c r="N391" s="134">
        <f>IF(ISNUMBER(G391),COUNTA(G391:G391,G392:G392,G393:G393,G394:G394),"")</f>
        <v>4</v>
      </c>
      <c r="O391" s="134">
        <f>IF(ISNUMBER(H391),COUNTA(H391:H391,H392:H392,H393:H393,H394:H394),"")</f>
        <v>4</v>
      </c>
      <c r="P391" s="134">
        <f>IF(ISNUMBER(I391),COUNTA(I391:I391,I392:I392,I393:I393,I394:I394),"")</f>
        <v>4</v>
      </c>
      <c r="Q391" s="134">
        <f>IF(ISNUMBER(J391),COUNTA(J391:J391,J392:J392,J393:J393,J394:J394),"")</f>
        <v>4</v>
      </c>
      <c r="R391" s="135">
        <f>IF(ISNUMBER(K391),COUNTA(K391:K391,K392:K392,K393:K393,K394:K394),"")</f>
        <v>4</v>
      </c>
      <c r="AA391" s="50">
        <v>641.4</v>
      </c>
      <c r="AB391" s="51">
        <v>69.742000000000004</v>
      </c>
      <c r="AC391" s="52">
        <f t="shared" si="411"/>
        <v>0.15650560246463974</v>
      </c>
    </row>
    <row r="392" spans="3:29">
      <c r="F392" s="579"/>
      <c r="G392" s="33">
        <v>1.0089999999999999</v>
      </c>
      <c r="H392" s="33">
        <v>0.96399999999999997</v>
      </c>
      <c r="I392" s="94">
        <v>0.999</v>
      </c>
      <c r="J392" s="33">
        <v>1.089</v>
      </c>
      <c r="K392" s="126">
        <v>1.0880000000000001</v>
      </c>
      <c r="M392" s="263" t="s">
        <v>97</v>
      </c>
      <c r="N392" s="136">
        <f>IF(ISNUMBER(G391),AVERAGE(G391:G394),"")</f>
        <v>1.00875</v>
      </c>
      <c r="O392" s="136">
        <f>IF(ISNUMBER(H391),AVERAGE(H391:H394),"")</f>
        <v>0.96349999999999991</v>
      </c>
      <c r="P392" s="136">
        <f>IF(ISNUMBER(I391),AVERAGE(I391:I394),"")</f>
        <v>0.99975000000000003</v>
      </c>
      <c r="Q392" s="136">
        <f>IF(ISNUMBER(J391),AVERAGE(J391:J394),"")</f>
        <v>1.0900000000000001</v>
      </c>
      <c r="R392" s="137">
        <f>IF(ISNUMBER(K391),AVERAGE(K391:K394),"")</f>
        <v>1.087</v>
      </c>
      <c r="AA392" s="50">
        <v>641.29999999999995</v>
      </c>
      <c r="AB392" s="51">
        <v>69.486999999999995</v>
      </c>
      <c r="AC392" s="52">
        <f t="shared" si="411"/>
        <v>0.15809643794740699</v>
      </c>
    </row>
    <row r="393" spans="3:29">
      <c r="F393" s="579"/>
      <c r="G393" s="33">
        <v>1.0089999999999999</v>
      </c>
      <c r="H393" s="33">
        <v>0.96399999999999997</v>
      </c>
      <c r="I393" s="94">
        <v>1</v>
      </c>
      <c r="J393" s="33">
        <v>1.0920000000000001</v>
      </c>
      <c r="K393" s="126">
        <v>1.0860000000000001</v>
      </c>
      <c r="M393" s="264" t="s">
        <v>174</v>
      </c>
      <c r="N393" s="138">
        <f>IF(ISNUMBER(G396),AVERAGE(G396:G399),"")</f>
        <v>0</v>
      </c>
      <c r="O393" s="138">
        <f>IF(ISNUMBER(H396),AVERAGE(H396:H399),"")</f>
        <v>0</v>
      </c>
      <c r="P393" s="138">
        <f>IF(ISNUMBER(I396),AVERAGE(I396:I399),"")</f>
        <v>0</v>
      </c>
      <c r="Q393" s="138">
        <f>IF(ISNUMBER(J396),AVERAGE(J396:J399),"")</f>
        <v>0</v>
      </c>
      <c r="R393" s="139">
        <f>IF(ISNUMBER(K396),AVERAGE(K396:K399),"")</f>
        <v>0</v>
      </c>
      <c r="AA393" s="50">
        <v>641.20000000000005</v>
      </c>
      <c r="AB393" s="51">
        <v>69.225999999999999</v>
      </c>
      <c r="AC393" s="52">
        <f t="shared" si="411"/>
        <v>0.15973076196237923</v>
      </c>
    </row>
    <row r="394" spans="3:29" ht="15.75" thickBot="1">
      <c r="C394" t="s">
        <v>216</v>
      </c>
      <c r="D394">
        <v>24.85</v>
      </c>
      <c r="F394" s="579"/>
      <c r="G394" s="127">
        <v>1.0089999999999999</v>
      </c>
      <c r="H394" s="127">
        <v>0.96399999999999997</v>
      </c>
      <c r="I394" s="127">
        <v>1.0009999999999999</v>
      </c>
      <c r="J394" s="127">
        <v>1.089</v>
      </c>
      <c r="K394" s="128">
        <v>1.087</v>
      </c>
      <c r="M394" s="264" t="s">
        <v>98</v>
      </c>
      <c r="N394" s="138">
        <f>IF(ISNUMBER(N393),IF(ISNUMBER(N392),N392-N393,""),"")</f>
        <v>1.00875</v>
      </c>
      <c r="O394" s="138">
        <f>IF(ISNUMBER(O393),IF(ISNUMBER(O392),O392-O393,""))</f>
        <v>0.96349999999999991</v>
      </c>
      <c r="P394" s="138">
        <f>IF(ISNUMBER(P393),IF(ISNUMBER(P392),P392-P393,""))</f>
        <v>0.99975000000000003</v>
      </c>
      <c r="Q394" s="138">
        <f>IF(ISNUMBER(Q393),IF(ISNUMBER(Q392),Q392-Q393,""))</f>
        <v>1.0900000000000001</v>
      </c>
      <c r="R394" s="139">
        <f>IF(ISNUMBER(R393),IF(ISNUMBER(R392),R392-R393,""))</f>
        <v>1.087</v>
      </c>
      <c r="AA394" s="50">
        <v>641.1</v>
      </c>
      <c r="AB394" s="51">
        <v>69.004999999999995</v>
      </c>
      <c r="AC394" s="52">
        <f t="shared" ref="AC394:AC457" si="538">-LOG(AB394/100)</f>
        <v>0.16111943978829862</v>
      </c>
    </row>
    <row r="395" spans="3:29" ht="16.5" thickBot="1">
      <c r="F395" s="579"/>
      <c r="G395" s="584" t="s">
        <v>171</v>
      </c>
      <c r="H395" s="582"/>
      <c r="I395" s="582"/>
      <c r="J395" s="582"/>
      <c r="K395" s="583"/>
      <c r="M395" s="263" t="s">
        <v>99</v>
      </c>
      <c r="N395" s="138">
        <f xml:space="preserve"> IF(ISNUMBER(N394),N394 - G390,"")</f>
        <v>2.6500000000000412E-3</v>
      </c>
      <c r="O395" s="138">
        <f xml:space="preserve"> IF(ISNUMBER(O394),O394 - H390,"")</f>
        <v>7.7999999999999181E-3</v>
      </c>
      <c r="P395" s="138">
        <f xml:space="preserve"> IF(ISNUMBER(P394),P394 - I390,"")</f>
        <v>-1.6500000000000403E-3</v>
      </c>
      <c r="Q395" s="138">
        <f xml:space="preserve"> IF(ISNUMBER(Q394),Q394 - J390,"")</f>
        <v>-7.8000000000000291E-3</v>
      </c>
      <c r="R395" s="139">
        <f xml:space="preserve"> IF(ISNUMBER(R394),R394 - K390,"")</f>
        <v>-3.0000000000001137E-3</v>
      </c>
      <c r="AA395" s="50">
        <v>641</v>
      </c>
      <c r="AB395" s="51">
        <v>68.751999999999995</v>
      </c>
      <c r="AC395" s="52">
        <f t="shared" si="538"/>
        <v>0.16271466366017209</v>
      </c>
    </row>
    <row r="396" spans="3:29" ht="15.75" thickBot="1">
      <c r="F396" s="579"/>
      <c r="G396" s="124">
        <v>0</v>
      </c>
      <c r="H396" s="124">
        <v>0</v>
      </c>
      <c r="I396" s="124">
        <v>0</v>
      </c>
      <c r="J396" s="124">
        <v>0</v>
      </c>
      <c r="K396" s="130">
        <v>0</v>
      </c>
      <c r="M396" s="265" t="s">
        <v>101</v>
      </c>
      <c r="N396" s="140">
        <f>IF(ISNUMBER(N394),SQRT(DEVSQ(G391:G394)/(N391-1)),"")</f>
        <v>4.9999999999994493E-4</v>
      </c>
      <c r="O396" s="140">
        <f>IF(ISNUMBER(O394),SQRT(DEVSQ(H391:H394)/(O391-1)),"")</f>
        <v>1.0000000000000009E-3</v>
      </c>
      <c r="P396" s="140">
        <f>IF(ISNUMBER(P394),SQRT(DEVSQ(I391:I394)/(P391-1)),"")</f>
        <v>9.5742710775629061E-4</v>
      </c>
      <c r="Q396" s="140">
        <f>IF(ISNUMBER(Q394),SQRT(DEVSQ(J391:J394)/(Q391-1)),"")</f>
        <v>1.4142135623731488E-3</v>
      </c>
      <c r="R396" s="261">
        <f>IF(ISNUMBER(R394),SQRT(DEVSQ(K391:K394)/(R391-1)),"")</f>
        <v>8.1649658092772682E-4</v>
      </c>
      <c r="AA396" s="50">
        <v>640.9</v>
      </c>
      <c r="AB396" s="51">
        <v>68.468000000000004</v>
      </c>
      <c r="AC396" s="52">
        <f t="shared" si="538"/>
        <v>0.1645123580045921</v>
      </c>
    </row>
    <row r="397" spans="3:29">
      <c r="F397" s="579"/>
      <c r="G397" s="94">
        <v>0</v>
      </c>
      <c r="H397" s="94">
        <v>0</v>
      </c>
      <c r="I397" s="94">
        <v>0</v>
      </c>
      <c r="J397" s="94">
        <v>0</v>
      </c>
      <c r="K397" s="131">
        <v>0</v>
      </c>
      <c r="AA397" s="50">
        <v>640.79999999999995</v>
      </c>
      <c r="AB397" s="51">
        <v>68.165000000000006</v>
      </c>
      <c r="AC397" s="52">
        <f t="shared" si="538"/>
        <v>0.16643856095310405</v>
      </c>
    </row>
    <row r="398" spans="3:29">
      <c r="F398" s="579"/>
      <c r="G398" s="94">
        <v>0</v>
      </c>
      <c r="H398" s="94">
        <v>0</v>
      </c>
      <c r="I398" s="94">
        <v>0</v>
      </c>
      <c r="J398" s="94">
        <v>0</v>
      </c>
      <c r="K398" s="131">
        <v>0</v>
      </c>
      <c r="AA398" s="50">
        <v>640.70000000000005</v>
      </c>
      <c r="AB398" s="51">
        <v>67.831999999999994</v>
      </c>
      <c r="AC398" s="52">
        <f t="shared" si="538"/>
        <v>0.16856537774319436</v>
      </c>
    </row>
    <row r="399" spans="3:29" ht="15.75" thickBot="1">
      <c r="F399" s="580"/>
      <c r="G399" s="132">
        <v>0</v>
      </c>
      <c r="H399" s="132">
        <v>0</v>
      </c>
      <c r="I399" s="132">
        <v>0</v>
      </c>
      <c r="J399" s="132">
        <v>0</v>
      </c>
      <c r="K399" s="133">
        <v>0</v>
      </c>
      <c r="AA399" s="50">
        <v>640.6</v>
      </c>
      <c r="AB399" s="51">
        <v>67.561000000000007</v>
      </c>
      <c r="AC399" s="52">
        <f t="shared" si="538"/>
        <v>0.17030393087030368</v>
      </c>
    </row>
    <row r="400" spans="3:29">
      <c r="AA400" s="50">
        <v>640.5</v>
      </c>
      <c r="AB400" s="51">
        <v>67.295000000000002</v>
      </c>
      <c r="AC400" s="52">
        <f t="shared" si="538"/>
        <v>0.17201720253794614</v>
      </c>
    </row>
    <row r="401" spans="4:29">
      <c r="AA401" s="50">
        <v>640.4</v>
      </c>
      <c r="AB401" s="51">
        <v>67.067999999999998</v>
      </c>
      <c r="AC401" s="52">
        <f t="shared" si="538"/>
        <v>0.17348464433647015</v>
      </c>
    </row>
    <row r="402" spans="4:29">
      <c r="AA402" s="50">
        <v>640.29999999999995</v>
      </c>
      <c r="AB402" s="51">
        <v>66.747</v>
      </c>
      <c r="AC402" s="52">
        <f t="shared" si="538"/>
        <v>0.17556824925514547</v>
      </c>
    </row>
    <row r="403" spans="4:29">
      <c r="D403" s="816" t="s">
        <v>33</v>
      </c>
      <c r="E403" s="817"/>
      <c r="F403" s="817"/>
      <c r="G403" s="817"/>
      <c r="H403" s="817"/>
      <c r="I403" s="817"/>
      <c r="J403" s="817"/>
      <c r="K403" s="817"/>
      <c r="L403" s="818"/>
      <c r="AA403" s="50">
        <v>640.20000000000005</v>
      </c>
      <c r="AB403" s="51">
        <v>66.481999999999999</v>
      </c>
      <c r="AC403" s="52">
        <f t="shared" si="538"/>
        <v>0.17729592400284661</v>
      </c>
    </row>
    <row r="404" spans="4:29">
      <c r="D404" s="782" t="s">
        <v>435</v>
      </c>
      <c r="E404" s="767"/>
      <c r="F404" s="767"/>
      <c r="G404" s="767"/>
      <c r="H404" s="767"/>
      <c r="I404" s="767"/>
      <c r="J404" s="767"/>
      <c r="K404" s="767"/>
      <c r="L404" s="768"/>
      <c r="AA404" s="50">
        <v>640.1</v>
      </c>
      <c r="AB404" s="51">
        <v>66.171000000000006</v>
      </c>
      <c r="AC404" s="52">
        <f t="shared" si="538"/>
        <v>0.17933230209208106</v>
      </c>
    </row>
    <row r="405" spans="4:29">
      <c r="D405" s="782" t="s">
        <v>358</v>
      </c>
      <c r="E405" s="767"/>
      <c r="F405" s="767"/>
      <c r="G405" s="767"/>
      <c r="H405" s="767"/>
      <c r="I405" s="767"/>
      <c r="J405" s="767"/>
      <c r="K405" s="767"/>
      <c r="L405" s="768"/>
      <c r="AA405" s="50">
        <v>640</v>
      </c>
      <c r="AB405" s="51">
        <v>65.869</v>
      </c>
      <c r="AC405" s="52">
        <f t="shared" si="538"/>
        <v>0.18131892981457462</v>
      </c>
    </row>
    <row r="406" spans="4:29">
      <c r="AA406" s="50">
        <v>639.9</v>
      </c>
      <c r="AB406" s="51">
        <v>65.59</v>
      </c>
      <c r="AC406" s="52">
        <f t="shared" si="538"/>
        <v>0.18316236909796488</v>
      </c>
    </row>
    <row r="407" spans="4:29">
      <c r="D407" s="2"/>
      <c r="E407" s="2" t="s">
        <v>357</v>
      </c>
      <c r="F407" s="2"/>
      <c r="I407" s="2"/>
      <c r="J407" s="2"/>
      <c r="K407" s="2"/>
      <c r="AA407" s="50">
        <v>639.79999999999995</v>
      </c>
      <c r="AB407" s="51">
        <v>65.311000000000007</v>
      </c>
      <c r="AC407" s="52">
        <f t="shared" si="538"/>
        <v>0.18501366655072585</v>
      </c>
    </row>
    <row r="408" spans="4:29">
      <c r="D408" s="815" t="s">
        <v>34</v>
      </c>
      <c r="E408" s="815"/>
      <c r="F408" s="815"/>
      <c r="I408" s="815" t="s">
        <v>35</v>
      </c>
      <c r="J408" s="815"/>
      <c r="K408" s="815"/>
      <c r="AA408" s="50">
        <v>639.70000000000005</v>
      </c>
      <c r="AB408" s="51">
        <v>65.067999999999998</v>
      </c>
      <c r="AC408" s="52">
        <f t="shared" si="538"/>
        <v>0.18663254200308321</v>
      </c>
    </row>
    <row r="409" spans="4:29" ht="18.75">
      <c r="D409" s="32"/>
      <c r="E409" s="32"/>
      <c r="F409" s="32"/>
      <c r="G409" s="32"/>
      <c r="H409" s="32"/>
      <c r="I409" s="32"/>
      <c r="J409" s="32"/>
      <c r="K409" s="32"/>
      <c r="L409" s="32"/>
      <c r="AA409" s="50">
        <v>639.6</v>
      </c>
      <c r="AB409" s="51">
        <v>64.8</v>
      </c>
      <c r="AC409" s="52">
        <f t="shared" si="538"/>
        <v>0.18842499412940666</v>
      </c>
    </row>
    <row r="410" spans="4:29">
      <c r="AA410" s="50">
        <v>639.5</v>
      </c>
      <c r="AB410" s="51">
        <v>64.519000000000005</v>
      </c>
      <c r="AC410" s="52">
        <f t="shared" si="538"/>
        <v>0.19031237249583982</v>
      </c>
    </row>
    <row r="411" spans="4:29">
      <c r="AA411" s="50">
        <v>639.4</v>
      </c>
      <c r="AB411" s="51">
        <v>64.224999999999994</v>
      </c>
      <c r="AC411" s="52">
        <f t="shared" si="538"/>
        <v>0.19229588706161624</v>
      </c>
    </row>
    <row r="412" spans="4:29">
      <c r="AA412" s="50">
        <v>639.29999999999995</v>
      </c>
      <c r="AB412" s="51">
        <v>64.024000000000001</v>
      </c>
      <c r="AC412" s="52">
        <f t="shared" si="538"/>
        <v>0.1936571961140979</v>
      </c>
    </row>
    <row r="413" spans="4:29">
      <c r="AA413" s="50">
        <v>639.20000000000005</v>
      </c>
      <c r="AB413" s="51">
        <v>63.816000000000003</v>
      </c>
      <c r="AC413" s="52">
        <f t="shared" si="538"/>
        <v>0.19507042095682689</v>
      </c>
    </row>
    <row r="414" spans="4:29">
      <c r="AA414" s="50">
        <v>639.1</v>
      </c>
      <c r="AB414" s="51">
        <v>63.634999999999998</v>
      </c>
      <c r="AC414" s="52">
        <f t="shared" si="538"/>
        <v>0.19630395155400662</v>
      </c>
    </row>
    <row r="415" spans="4:29">
      <c r="AA415" s="50">
        <v>639</v>
      </c>
      <c r="AB415" s="51">
        <v>63.478999999999999</v>
      </c>
      <c r="AC415" s="52">
        <f t="shared" si="538"/>
        <v>0.19736992340903975</v>
      </c>
    </row>
    <row r="416" spans="4:29">
      <c r="AA416" s="50">
        <v>638.9</v>
      </c>
      <c r="AB416" s="51">
        <v>63.26</v>
      </c>
      <c r="AC416" s="52">
        <f t="shared" si="538"/>
        <v>0.198870812420296</v>
      </c>
    </row>
    <row r="417" spans="27:29">
      <c r="AA417" s="50">
        <v>638.79999999999995</v>
      </c>
      <c r="AB417" s="51">
        <v>63.097999999999999</v>
      </c>
      <c r="AC417" s="52">
        <f t="shared" si="538"/>
        <v>0.19998440625078445</v>
      </c>
    </row>
    <row r="418" spans="27:29">
      <c r="AA418" s="50">
        <v>638.70000000000005</v>
      </c>
      <c r="AB418" s="51">
        <v>62.911000000000001</v>
      </c>
      <c r="AC418" s="52">
        <f t="shared" si="538"/>
        <v>0.20127341144461969</v>
      </c>
    </row>
    <row r="419" spans="27:29">
      <c r="AA419" s="50">
        <v>638.6</v>
      </c>
      <c r="AB419" s="51">
        <v>62.783999999999999</v>
      </c>
      <c r="AC419" s="52">
        <f t="shared" si="538"/>
        <v>0.20215101863616436</v>
      </c>
    </row>
    <row r="420" spans="27:29">
      <c r="AA420" s="50">
        <v>638.5</v>
      </c>
      <c r="AB420" s="51">
        <v>62.668999999999997</v>
      </c>
      <c r="AC420" s="52">
        <f t="shared" si="538"/>
        <v>0.20294723521780261</v>
      </c>
    </row>
    <row r="421" spans="27:29">
      <c r="AA421" s="50">
        <v>638.4</v>
      </c>
      <c r="AB421" s="51">
        <v>62.536000000000001</v>
      </c>
      <c r="AC421" s="52">
        <f t="shared" si="538"/>
        <v>0.20386990105093847</v>
      </c>
    </row>
    <row r="422" spans="27:29">
      <c r="AA422" s="50">
        <v>638.29999999999995</v>
      </c>
      <c r="AB422" s="51">
        <v>62.447000000000003</v>
      </c>
      <c r="AC422" s="52">
        <f t="shared" si="538"/>
        <v>0.20448842061636205</v>
      </c>
    </row>
    <row r="423" spans="27:29">
      <c r="AA423" s="50">
        <v>638.20000000000005</v>
      </c>
      <c r="AB423" s="51">
        <v>62.345999999999997</v>
      </c>
      <c r="AC423" s="52">
        <f t="shared" si="538"/>
        <v>0.20519140479415432</v>
      </c>
    </row>
    <row r="424" spans="27:29">
      <c r="AA424" s="50">
        <v>638.1</v>
      </c>
      <c r="AB424" s="51">
        <v>62.253999999999998</v>
      </c>
      <c r="AC424" s="52">
        <f t="shared" si="538"/>
        <v>0.20583273865604843</v>
      </c>
    </row>
    <row r="425" spans="27:29">
      <c r="AA425" s="50">
        <v>638</v>
      </c>
      <c r="AB425" s="51">
        <v>62.247999999999998</v>
      </c>
      <c r="AC425" s="52">
        <f t="shared" si="538"/>
        <v>0.20587459769274566</v>
      </c>
    </row>
    <row r="426" spans="27:29">
      <c r="AA426" s="50">
        <v>637.9</v>
      </c>
      <c r="AB426" s="51">
        <v>62.222999999999999</v>
      </c>
      <c r="AC426" s="52">
        <f t="shared" si="538"/>
        <v>0.20604905378602967</v>
      </c>
    </row>
    <row r="427" spans="27:29">
      <c r="AA427" s="50">
        <v>637.79999999999995</v>
      </c>
      <c r="AB427" s="51">
        <v>62.222999999999999</v>
      </c>
      <c r="AC427" s="52">
        <f t="shared" si="538"/>
        <v>0.20604905378602967</v>
      </c>
    </row>
    <row r="428" spans="27:29">
      <c r="AA428" s="50">
        <v>637.70000000000005</v>
      </c>
      <c r="AB428" s="51">
        <v>62.204000000000001</v>
      </c>
      <c r="AC428" s="52">
        <f t="shared" si="538"/>
        <v>0.2061816873015897</v>
      </c>
    </row>
    <row r="429" spans="27:29">
      <c r="AA429" s="50">
        <v>637.6</v>
      </c>
      <c r="AB429" s="51">
        <v>62.173000000000002</v>
      </c>
      <c r="AC429" s="52">
        <f t="shared" si="538"/>
        <v>0.20639817635049401</v>
      </c>
    </row>
    <row r="430" spans="27:29">
      <c r="AA430" s="50">
        <v>637.5</v>
      </c>
      <c r="AB430" s="51">
        <v>62.207999999999998</v>
      </c>
      <c r="AC430" s="52">
        <f t="shared" si="538"/>
        <v>0.20615376108983827</v>
      </c>
    </row>
    <row r="431" spans="27:29">
      <c r="AA431" s="50">
        <v>637.4</v>
      </c>
      <c r="AB431" s="51">
        <v>62.215000000000003</v>
      </c>
      <c r="AC431" s="52">
        <f t="shared" si="538"/>
        <v>0.20610489453981889</v>
      </c>
    </row>
    <row r="432" spans="27:29">
      <c r="AA432" s="50">
        <v>637.29999999999995</v>
      </c>
      <c r="AB432" s="51">
        <v>62.262999999999998</v>
      </c>
      <c r="AC432" s="52">
        <f t="shared" si="538"/>
        <v>0.20576995766479522</v>
      </c>
    </row>
    <row r="433" spans="27:29">
      <c r="AA433" s="50">
        <v>637.20000000000005</v>
      </c>
      <c r="AB433" s="51">
        <v>62.298999999999999</v>
      </c>
      <c r="AC433" s="52">
        <f t="shared" si="538"/>
        <v>0.20551892441574929</v>
      </c>
    </row>
    <row r="434" spans="27:29">
      <c r="AA434" s="50">
        <v>637.1</v>
      </c>
      <c r="AB434" s="51">
        <v>62.395000000000003</v>
      </c>
      <c r="AC434" s="52">
        <f t="shared" si="538"/>
        <v>0.20485021094918268</v>
      </c>
    </row>
    <row r="435" spans="27:29">
      <c r="AA435" s="50">
        <v>637</v>
      </c>
      <c r="AB435" s="51">
        <v>62.448</v>
      </c>
      <c r="AC435" s="52">
        <f t="shared" si="538"/>
        <v>0.20448146606282649</v>
      </c>
    </row>
    <row r="436" spans="27:29">
      <c r="AA436" s="50">
        <v>636.9</v>
      </c>
      <c r="AB436" s="51">
        <v>62.542000000000002</v>
      </c>
      <c r="AC436" s="52">
        <f t="shared" si="538"/>
        <v>0.20382823478039663</v>
      </c>
    </row>
    <row r="437" spans="27:29">
      <c r="AA437" s="50">
        <v>636.79999999999995</v>
      </c>
      <c r="AB437" s="51">
        <v>62.616999999999997</v>
      </c>
      <c r="AC437" s="52">
        <f t="shared" si="538"/>
        <v>0.20330774340476288</v>
      </c>
    </row>
    <row r="438" spans="27:29">
      <c r="AA438" s="50">
        <v>636.70000000000005</v>
      </c>
      <c r="AB438" s="51">
        <v>62.697000000000003</v>
      </c>
      <c r="AC438" s="52">
        <f t="shared" si="538"/>
        <v>0.20275323930670244</v>
      </c>
    </row>
    <row r="439" spans="27:29">
      <c r="AA439" s="50">
        <v>636.6</v>
      </c>
      <c r="AB439" s="51">
        <v>62.853000000000002</v>
      </c>
      <c r="AC439" s="52">
        <f t="shared" si="538"/>
        <v>0.20167398842588932</v>
      </c>
    </row>
    <row r="440" spans="27:29">
      <c r="AA440" s="50">
        <v>636.5</v>
      </c>
      <c r="AB440" s="51">
        <v>62.99</v>
      </c>
      <c r="AC440" s="52">
        <f t="shared" si="538"/>
        <v>0.20072839165012735</v>
      </c>
    </row>
    <row r="441" spans="27:29">
      <c r="AA441" s="50">
        <v>636.4</v>
      </c>
      <c r="AB441" s="51">
        <v>63.100999999999999</v>
      </c>
      <c r="AC441" s="52">
        <f t="shared" si="538"/>
        <v>0.19996375817202069</v>
      </c>
    </row>
    <row r="442" spans="27:29">
      <c r="AA442" s="50">
        <v>636.29999999999995</v>
      </c>
      <c r="AB442" s="51">
        <v>63.220999999999997</v>
      </c>
      <c r="AC442" s="52">
        <f t="shared" si="538"/>
        <v>0.19913863897655376</v>
      </c>
    </row>
    <row r="443" spans="27:29">
      <c r="AA443" s="50">
        <v>636.20000000000005</v>
      </c>
      <c r="AB443" s="51">
        <v>63.341000000000001</v>
      </c>
      <c r="AC443" s="52">
        <f t="shared" si="538"/>
        <v>0.19831508445868121</v>
      </c>
    </row>
    <row r="444" spans="27:29">
      <c r="AA444" s="50">
        <v>636.1</v>
      </c>
      <c r="AB444" s="51">
        <v>63.499000000000002</v>
      </c>
      <c r="AC444" s="52">
        <f t="shared" si="538"/>
        <v>0.19723311404505706</v>
      </c>
    </row>
    <row r="445" spans="27:29">
      <c r="AA445" s="50">
        <v>636</v>
      </c>
      <c r="AB445" s="51">
        <v>63.656999999999996</v>
      </c>
      <c r="AC445" s="52">
        <f t="shared" si="538"/>
        <v>0.19615383247822804</v>
      </c>
    </row>
    <row r="446" spans="27:29">
      <c r="AA446" s="50">
        <v>635.9</v>
      </c>
      <c r="AB446" s="51">
        <v>63.851999999999997</v>
      </c>
      <c r="AC446" s="52">
        <f t="shared" si="538"/>
        <v>0.19482549502765278</v>
      </c>
    </row>
    <row r="447" spans="27:29">
      <c r="AA447" s="50">
        <v>635.79999999999995</v>
      </c>
      <c r="AB447" s="51">
        <v>64.016999999999996</v>
      </c>
      <c r="AC447" s="52">
        <f t="shared" si="538"/>
        <v>0.19370468186282461</v>
      </c>
    </row>
    <row r="448" spans="27:29">
      <c r="AA448" s="50">
        <v>635.70000000000005</v>
      </c>
      <c r="AB448" s="51">
        <v>64.227999999999994</v>
      </c>
      <c r="AC448" s="52">
        <f t="shared" si="538"/>
        <v>0.19227560130035032</v>
      </c>
    </row>
    <row r="449" spans="27:29">
      <c r="AA449" s="50">
        <v>635.6</v>
      </c>
      <c r="AB449" s="51">
        <v>64.408000000000001</v>
      </c>
      <c r="AC449" s="52">
        <f t="shared" si="538"/>
        <v>0.19106018636573766</v>
      </c>
    </row>
    <row r="450" spans="27:29">
      <c r="AA450" s="50">
        <v>635.5</v>
      </c>
      <c r="AB450" s="51">
        <v>64.626999999999995</v>
      </c>
      <c r="AC450" s="52">
        <f t="shared" si="538"/>
        <v>0.18958600365779016</v>
      </c>
    </row>
    <row r="451" spans="27:29">
      <c r="AA451" s="50">
        <v>635.4</v>
      </c>
      <c r="AB451" s="51">
        <v>64.811000000000007</v>
      </c>
      <c r="AC451" s="52">
        <f t="shared" si="538"/>
        <v>0.18835127755731929</v>
      </c>
    </row>
    <row r="452" spans="27:29">
      <c r="AA452" s="50">
        <v>635.29999999999995</v>
      </c>
      <c r="AB452" s="51">
        <v>65.08</v>
      </c>
      <c r="AC452" s="52">
        <f t="shared" si="538"/>
        <v>0.18655245573517887</v>
      </c>
    </row>
    <row r="453" spans="27:29">
      <c r="AA453" s="50">
        <v>635.20000000000005</v>
      </c>
      <c r="AB453" s="51">
        <v>65.317999999999998</v>
      </c>
      <c r="AC453" s="52">
        <f t="shared" si="538"/>
        <v>0.18496712158174913</v>
      </c>
    </row>
    <row r="454" spans="27:29">
      <c r="AA454" s="50">
        <v>635.1</v>
      </c>
      <c r="AB454" s="51">
        <v>65.525999999999996</v>
      </c>
      <c r="AC454" s="52">
        <f t="shared" si="538"/>
        <v>0.18358634251157216</v>
      </c>
    </row>
    <row r="455" spans="27:29">
      <c r="AA455" s="50">
        <v>635</v>
      </c>
      <c r="AB455" s="51">
        <v>65.805000000000007</v>
      </c>
      <c r="AC455" s="52">
        <f t="shared" si="538"/>
        <v>0.18174110653937361</v>
      </c>
    </row>
    <row r="456" spans="27:29">
      <c r="AA456" s="50">
        <v>634.9</v>
      </c>
      <c r="AB456" s="51">
        <v>66.058000000000007</v>
      </c>
      <c r="AC456" s="52">
        <f t="shared" si="538"/>
        <v>0.18007457932932386</v>
      </c>
    </row>
    <row r="457" spans="27:29">
      <c r="AA457" s="50">
        <v>634.79999999999995</v>
      </c>
      <c r="AB457" s="51">
        <v>66.350999999999999</v>
      </c>
      <c r="AC457" s="52">
        <f t="shared" si="538"/>
        <v>0.17815252734047735</v>
      </c>
    </row>
    <row r="458" spans="27:29">
      <c r="AA458" s="50">
        <v>634.70000000000005</v>
      </c>
      <c r="AB458" s="51">
        <v>66.707999999999998</v>
      </c>
      <c r="AC458" s="52">
        <f t="shared" ref="AC458:AC521" si="539">-LOG(AB458/100)</f>
        <v>0.17582207991381515</v>
      </c>
    </row>
    <row r="459" spans="27:29">
      <c r="AA459" s="50">
        <v>634.6</v>
      </c>
      <c r="AB459" s="51">
        <v>67.007000000000005</v>
      </c>
      <c r="AC459" s="52">
        <f t="shared" si="539"/>
        <v>0.17387982561894655</v>
      </c>
    </row>
    <row r="460" spans="27:29">
      <c r="AA460" s="50">
        <v>634.5</v>
      </c>
      <c r="AB460" s="51">
        <v>67.346999999999994</v>
      </c>
      <c r="AC460" s="52">
        <f t="shared" si="539"/>
        <v>0.17168174533764033</v>
      </c>
    </row>
    <row r="461" spans="27:29">
      <c r="AA461" s="50">
        <v>634.4</v>
      </c>
      <c r="AB461" s="51">
        <v>67.644000000000005</v>
      </c>
      <c r="AC461" s="52">
        <f t="shared" si="539"/>
        <v>0.16977071913218711</v>
      </c>
    </row>
    <row r="462" spans="27:29">
      <c r="AA462" s="50">
        <v>634.29999999999995</v>
      </c>
      <c r="AB462" s="51">
        <v>67.995999999999995</v>
      </c>
      <c r="AC462" s="52">
        <f t="shared" si="539"/>
        <v>0.16751663477939735</v>
      </c>
    </row>
    <row r="463" spans="27:29">
      <c r="AA463" s="50">
        <v>634.20000000000005</v>
      </c>
      <c r="AB463" s="51">
        <v>68.361000000000004</v>
      </c>
      <c r="AC463" s="52">
        <f t="shared" si="539"/>
        <v>0.16519159294800337</v>
      </c>
    </row>
    <row r="464" spans="27:29">
      <c r="AA464" s="50">
        <v>634.1</v>
      </c>
      <c r="AB464" s="51">
        <v>68.721000000000004</v>
      </c>
      <c r="AC464" s="52">
        <f t="shared" si="539"/>
        <v>0.16291052945443271</v>
      </c>
    </row>
    <row r="465" spans="27:29">
      <c r="AA465" s="50">
        <v>634</v>
      </c>
      <c r="AB465" s="51">
        <v>69.111000000000004</v>
      </c>
      <c r="AC465" s="52">
        <f t="shared" si="539"/>
        <v>0.16045282297170715</v>
      </c>
    </row>
    <row r="466" spans="27:29">
      <c r="AA466" s="50">
        <v>633.9</v>
      </c>
      <c r="AB466" s="51">
        <v>69.516000000000005</v>
      </c>
      <c r="AC466" s="52">
        <f t="shared" si="539"/>
        <v>0.15791522545331801</v>
      </c>
    </row>
    <row r="467" spans="27:29">
      <c r="AA467" s="50">
        <v>633.79999999999995</v>
      </c>
      <c r="AB467" s="51">
        <v>69.881</v>
      </c>
      <c r="AC467" s="52">
        <f t="shared" si="539"/>
        <v>0.15564088887264266</v>
      </c>
    </row>
    <row r="468" spans="27:29">
      <c r="AA468" s="50">
        <v>633.70000000000005</v>
      </c>
      <c r="AB468" s="51">
        <v>70.263999999999996</v>
      </c>
      <c r="AC468" s="52">
        <f t="shared" si="539"/>
        <v>0.15326713025592745</v>
      </c>
    </row>
    <row r="469" spans="27:29">
      <c r="AA469" s="50">
        <v>633.6</v>
      </c>
      <c r="AB469" s="51">
        <v>70.673000000000002</v>
      </c>
      <c r="AC469" s="52">
        <f t="shared" si="539"/>
        <v>0.15074647291631962</v>
      </c>
    </row>
    <row r="470" spans="27:29">
      <c r="AA470" s="50">
        <v>633.5</v>
      </c>
      <c r="AB470" s="51">
        <v>71.09</v>
      </c>
      <c r="AC470" s="52">
        <f t="shared" si="539"/>
        <v>0.14819148577176247</v>
      </c>
    </row>
    <row r="471" spans="27:29">
      <c r="AA471" s="50">
        <v>633.4</v>
      </c>
      <c r="AB471" s="51">
        <v>71.528999999999996</v>
      </c>
      <c r="AC471" s="52">
        <f t="shared" si="539"/>
        <v>0.1455178464992252</v>
      </c>
    </row>
    <row r="472" spans="27:29">
      <c r="AA472" s="50">
        <v>633.29999999999995</v>
      </c>
      <c r="AB472" s="51">
        <v>71.983000000000004</v>
      </c>
      <c r="AC472" s="52">
        <f t="shared" si="539"/>
        <v>0.14277005742893253</v>
      </c>
    </row>
    <row r="473" spans="27:29">
      <c r="AA473" s="50">
        <v>633.20000000000005</v>
      </c>
      <c r="AB473" s="51">
        <v>72.456000000000003</v>
      </c>
      <c r="AC473" s="52">
        <f t="shared" si="539"/>
        <v>0.13992564526529624</v>
      </c>
    </row>
    <row r="474" spans="27:29">
      <c r="AA474" s="50">
        <v>633.1</v>
      </c>
      <c r="AB474" s="51">
        <v>72.858000000000004</v>
      </c>
      <c r="AC474" s="52">
        <f t="shared" si="539"/>
        <v>0.13752275459952928</v>
      </c>
    </row>
    <row r="475" spans="27:29">
      <c r="AA475" s="50">
        <v>633</v>
      </c>
      <c r="AB475" s="51">
        <v>73.228999999999999</v>
      </c>
      <c r="AC475" s="52">
        <f t="shared" si="539"/>
        <v>0.13531689645781245</v>
      </c>
    </row>
    <row r="476" spans="27:29">
      <c r="AA476" s="50">
        <v>632.9</v>
      </c>
      <c r="AB476" s="51">
        <v>73.686999999999998</v>
      </c>
      <c r="AC476" s="52">
        <f t="shared" si="539"/>
        <v>0.13260912443754705</v>
      </c>
    </row>
    <row r="477" spans="27:29">
      <c r="AA477" s="50">
        <v>632.79999999999995</v>
      </c>
      <c r="AB477" s="51">
        <v>74.147999999999996</v>
      </c>
      <c r="AC477" s="52">
        <f t="shared" si="539"/>
        <v>0.12990055873779693</v>
      </c>
    </row>
    <row r="478" spans="27:29">
      <c r="AA478" s="50">
        <v>632.70000000000005</v>
      </c>
      <c r="AB478" s="51">
        <v>74.555999999999997</v>
      </c>
      <c r="AC478" s="52">
        <f t="shared" si="539"/>
        <v>0.12751740033926015</v>
      </c>
    </row>
    <row r="479" spans="27:29">
      <c r="AA479" s="50">
        <v>632.6</v>
      </c>
      <c r="AB479" s="51">
        <v>74.98</v>
      </c>
      <c r="AC479" s="52">
        <f t="shared" si="539"/>
        <v>0.12505456391446809</v>
      </c>
    </row>
    <row r="480" spans="27:29">
      <c r="AA480" s="50">
        <v>632.5</v>
      </c>
      <c r="AB480" s="51">
        <v>75.436000000000007</v>
      </c>
      <c r="AC480" s="52">
        <f t="shared" si="539"/>
        <v>0.12242134816022696</v>
      </c>
    </row>
    <row r="481" spans="27:29">
      <c r="AA481" s="50">
        <v>632.4</v>
      </c>
      <c r="AB481" s="51">
        <v>75.816000000000003</v>
      </c>
      <c r="AC481" s="52">
        <f t="shared" si="539"/>
        <v>0.12023913238324499</v>
      </c>
    </row>
    <row r="482" spans="27:29">
      <c r="AA482" s="50">
        <v>632.29999999999995</v>
      </c>
      <c r="AB482" s="51">
        <v>76.234999999999999</v>
      </c>
      <c r="AC482" s="52">
        <f t="shared" si="539"/>
        <v>0.11784559536576603</v>
      </c>
    </row>
    <row r="483" spans="27:29">
      <c r="AA483" s="50">
        <v>632.20000000000005</v>
      </c>
      <c r="AB483" s="51">
        <v>76.616</v>
      </c>
      <c r="AC483" s="52">
        <f t="shared" si="539"/>
        <v>0.11568052558805567</v>
      </c>
    </row>
    <row r="484" spans="27:29">
      <c r="AA484" s="50">
        <v>632.1</v>
      </c>
      <c r="AB484" s="51">
        <v>77.048000000000002</v>
      </c>
      <c r="AC484" s="52">
        <f t="shared" si="539"/>
        <v>0.11323863014785981</v>
      </c>
    </row>
    <row r="485" spans="27:29">
      <c r="AA485" s="50">
        <v>632</v>
      </c>
      <c r="AB485" s="51">
        <v>77.465999999999994</v>
      </c>
      <c r="AC485" s="52">
        <f t="shared" si="539"/>
        <v>0.11088886849147823</v>
      </c>
    </row>
    <row r="486" spans="27:29">
      <c r="AA486" s="50">
        <v>631.9</v>
      </c>
      <c r="AB486" s="51">
        <v>77.861999999999995</v>
      </c>
      <c r="AC486" s="52">
        <f t="shared" si="539"/>
        <v>0.10867444498199486</v>
      </c>
    </row>
    <row r="487" spans="27:29">
      <c r="AA487" s="50">
        <v>631.79999999999995</v>
      </c>
      <c r="AB487" s="51">
        <v>78.210999999999999</v>
      </c>
      <c r="AC487" s="52">
        <f t="shared" si="539"/>
        <v>0.10673216121972555</v>
      </c>
    </row>
    <row r="488" spans="27:29">
      <c r="AA488" s="50">
        <v>631.70000000000005</v>
      </c>
      <c r="AB488" s="51">
        <v>78.546999999999997</v>
      </c>
      <c r="AC488" s="52">
        <f t="shared" si="539"/>
        <v>0.10487039761734152</v>
      </c>
    </row>
    <row r="489" spans="27:29">
      <c r="AA489" s="50">
        <v>631.6</v>
      </c>
      <c r="AB489" s="51">
        <v>78.924999999999997</v>
      </c>
      <c r="AC489" s="52">
        <f t="shared" si="539"/>
        <v>0.10278540943574502</v>
      </c>
    </row>
    <row r="490" spans="27:29">
      <c r="AA490" s="50">
        <v>631.5</v>
      </c>
      <c r="AB490" s="51">
        <v>79.281000000000006</v>
      </c>
      <c r="AC490" s="52">
        <f t="shared" si="539"/>
        <v>0.10083088057445949</v>
      </c>
    </row>
    <row r="491" spans="27:29">
      <c r="AA491" s="50">
        <v>631.4</v>
      </c>
      <c r="AB491" s="51">
        <v>79.646000000000001</v>
      </c>
      <c r="AC491" s="52">
        <f t="shared" si="539"/>
        <v>9.8836030553990414E-2</v>
      </c>
    </row>
    <row r="492" spans="27:29">
      <c r="AA492" s="50">
        <v>631.29999999999995</v>
      </c>
      <c r="AB492" s="51">
        <v>79.927999999999997</v>
      </c>
      <c r="AC492" s="52">
        <f t="shared" si="539"/>
        <v>9.7301054036639356E-2</v>
      </c>
    </row>
    <row r="493" spans="27:29">
      <c r="AA493" s="50">
        <v>631.20000000000005</v>
      </c>
      <c r="AB493" s="51">
        <v>80.275000000000006</v>
      </c>
      <c r="AC493" s="52">
        <f t="shared" si="539"/>
        <v>9.5419685761459844E-2</v>
      </c>
    </row>
    <row r="494" spans="27:29">
      <c r="AA494" s="50">
        <v>631.1</v>
      </c>
      <c r="AB494" s="51">
        <v>80.567999999999998</v>
      </c>
      <c r="AC494" s="52">
        <f t="shared" si="539"/>
        <v>9.3837417040381524E-2</v>
      </c>
    </row>
    <row r="495" spans="27:29">
      <c r="AA495" s="50">
        <v>631</v>
      </c>
      <c r="AB495" s="51">
        <v>80.855999999999995</v>
      </c>
      <c r="AC495" s="52">
        <f t="shared" si="539"/>
        <v>9.2287747307273779E-2</v>
      </c>
    </row>
    <row r="496" spans="27:29">
      <c r="AA496" s="50">
        <v>630.9</v>
      </c>
      <c r="AB496" s="51">
        <v>81.16</v>
      </c>
      <c r="AC496" s="52">
        <f t="shared" si="539"/>
        <v>9.0657961638691623E-2</v>
      </c>
    </row>
    <row r="497" spans="27:29">
      <c r="AA497" s="50">
        <v>630.79999999999995</v>
      </c>
      <c r="AB497" s="51">
        <v>81.415000000000006</v>
      </c>
      <c r="AC497" s="52">
        <f t="shared" si="539"/>
        <v>8.9295572787954053E-2</v>
      </c>
    </row>
    <row r="498" spans="27:29">
      <c r="AA498" s="50">
        <v>630.70000000000005</v>
      </c>
      <c r="AB498" s="51">
        <v>81.736999999999995</v>
      </c>
      <c r="AC498" s="52">
        <f t="shared" si="539"/>
        <v>8.7581306278882651E-2</v>
      </c>
    </row>
    <row r="499" spans="27:29">
      <c r="AA499" s="50">
        <v>630.6</v>
      </c>
      <c r="AB499" s="51">
        <v>81.971000000000004</v>
      </c>
      <c r="AC499" s="52">
        <f t="shared" si="539"/>
        <v>8.6339766733157755E-2</v>
      </c>
    </row>
    <row r="500" spans="27:29">
      <c r="AA500" s="50">
        <v>630.5</v>
      </c>
      <c r="AB500" s="51">
        <v>82.244</v>
      </c>
      <c r="AC500" s="52">
        <f t="shared" si="539"/>
        <v>8.4895775590015002E-2</v>
      </c>
    </row>
    <row r="501" spans="27:29">
      <c r="AA501" s="50">
        <v>630.4</v>
      </c>
      <c r="AB501" s="51">
        <v>82.435000000000002</v>
      </c>
      <c r="AC501" s="52">
        <f t="shared" si="539"/>
        <v>8.3888357725700316E-2</v>
      </c>
    </row>
    <row r="502" spans="27:29">
      <c r="AA502" s="50">
        <v>630.29999999999995</v>
      </c>
      <c r="AB502" s="51">
        <v>82.644000000000005</v>
      </c>
      <c r="AC502" s="52">
        <f t="shared" si="539"/>
        <v>8.2788670967055E-2</v>
      </c>
    </row>
    <row r="503" spans="27:29">
      <c r="AA503" s="50">
        <v>630.20000000000005</v>
      </c>
      <c r="AB503" s="51">
        <v>82.875</v>
      </c>
      <c r="AC503" s="52">
        <f t="shared" si="539"/>
        <v>8.1576458587170456E-2</v>
      </c>
    </row>
    <row r="504" spans="27:29">
      <c r="AA504" s="50">
        <v>630.1</v>
      </c>
      <c r="AB504" s="51">
        <v>83.113</v>
      </c>
      <c r="AC504" s="52">
        <f t="shared" si="539"/>
        <v>8.0331041357890459E-2</v>
      </c>
    </row>
    <row r="505" spans="27:29">
      <c r="AA505" s="50">
        <v>630</v>
      </c>
      <c r="AB505" s="51">
        <v>83.349000000000004</v>
      </c>
      <c r="AC505" s="52">
        <f t="shared" si="539"/>
        <v>7.9099606358917288E-2</v>
      </c>
    </row>
    <row r="506" spans="27:29">
      <c r="AA506" s="50">
        <v>629.9</v>
      </c>
      <c r="AB506" s="51">
        <v>83.543999999999997</v>
      </c>
      <c r="AC506" s="52">
        <f t="shared" si="539"/>
        <v>7.8084735004105621E-2</v>
      </c>
    </row>
    <row r="507" spans="27:29">
      <c r="AA507" s="50">
        <v>629.79999999999995</v>
      </c>
      <c r="AB507" s="51">
        <v>83.662999999999997</v>
      </c>
      <c r="AC507" s="52">
        <f t="shared" si="539"/>
        <v>7.7466566481590587E-2</v>
      </c>
    </row>
    <row r="508" spans="27:29">
      <c r="AA508" s="50">
        <v>629.70000000000005</v>
      </c>
      <c r="AB508" s="51">
        <v>83.87</v>
      </c>
      <c r="AC508" s="52">
        <f t="shared" si="539"/>
        <v>7.6393356982540878E-2</v>
      </c>
    </row>
    <row r="509" spans="27:29">
      <c r="AA509" s="50">
        <v>629.6</v>
      </c>
      <c r="AB509" s="51">
        <v>84.113</v>
      </c>
      <c r="AC509" s="52">
        <f t="shared" si="539"/>
        <v>7.5136877068323088E-2</v>
      </c>
    </row>
    <row r="510" spans="27:29">
      <c r="AA510" s="50">
        <v>629.5</v>
      </c>
      <c r="AB510" s="51">
        <v>84.26</v>
      </c>
      <c r="AC510" s="52">
        <f t="shared" si="539"/>
        <v>7.4378545209171018E-2</v>
      </c>
    </row>
    <row r="511" spans="27:29">
      <c r="AA511" s="50">
        <v>629.4</v>
      </c>
      <c r="AB511" s="51">
        <v>84.397000000000006</v>
      </c>
      <c r="AC511" s="52">
        <f t="shared" si="539"/>
        <v>7.367299065635638E-2</v>
      </c>
    </row>
    <row r="512" spans="27:29">
      <c r="AA512" s="50">
        <v>629.29999999999995</v>
      </c>
      <c r="AB512" s="51">
        <v>84.566999999999993</v>
      </c>
      <c r="AC512" s="52">
        <f t="shared" si="539"/>
        <v>7.2799075658649209E-2</v>
      </c>
    </row>
    <row r="513" spans="27:29">
      <c r="AA513" s="50">
        <v>629.20000000000005</v>
      </c>
      <c r="AB513" s="51">
        <v>84.653000000000006</v>
      </c>
      <c r="AC513" s="52">
        <f t="shared" si="539"/>
        <v>7.2357646410815241E-2</v>
      </c>
    </row>
    <row r="514" spans="27:29">
      <c r="AA514" s="50">
        <v>629.1</v>
      </c>
      <c r="AB514" s="51">
        <v>84.816000000000003</v>
      </c>
      <c r="AC514" s="52">
        <f t="shared" si="539"/>
        <v>7.1522213117648697E-2</v>
      </c>
    </row>
    <row r="515" spans="27:29">
      <c r="AA515" s="50">
        <v>629</v>
      </c>
      <c r="AB515" s="51">
        <v>84.936000000000007</v>
      </c>
      <c r="AC515" s="52">
        <f t="shared" si="539"/>
        <v>7.0908195650879038E-2</v>
      </c>
    </row>
    <row r="516" spans="27:29">
      <c r="AA516" s="50">
        <v>628.9</v>
      </c>
      <c r="AB516" s="51">
        <v>85.075999999999993</v>
      </c>
      <c r="AC516" s="52">
        <f t="shared" si="539"/>
        <v>7.0192937419581727E-2</v>
      </c>
    </row>
    <row r="517" spans="27:29">
      <c r="AA517" s="50">
        <v>628.79999999999995</v>
      </c>
      <c r="AB517" s="51">
        <v>85.24</v>
      </c>
      <c r="AC517" s="52">
        <f t="shared" si="539"/>
        <v>6.9356558957835671E-2</v>
      </c>
    </row>
    <row r="518" spans="27:29">
      <c r="AA518" s="50">
        <v>628.70000000000005</v>
      </c>
      <c r="AB518" s="51">
        <v>85.366</v>
      </c>
      <c r="AC518" s="52">
        <f t="shared" si="539"/>
        <v>6.87150678652719E-2</v>
      </c>
    </row>
    <row r="519" spans="27:29">
      <c r="AA519" s="50">
        <v>628.6</v>
      </c>
      <c r="AB519" s="51">
        <v>85.456000000000003</v>
      </c>
      <c r="AC519" s="52">
        <f t="shared" si="539"/>
        <v>6.8257439374937931E-2</v>
      </c>
    </row>
    <row r="520" spans="27:29">
      <c r="AA520" s="50">
        <v>628.5</v>
      </c>
      <c r="AB520" s="51">
        <v>85.555000000000007</v>
      </c>
      <c r="AC520" s="52">
        <f t="shared" si="539"/>
        <v>6.7754604370037511E-2</v>
      </c>
    </row>
    <row r="521" spans="27:29">
      <c r="AA521" s="50">
        <v>628.4</v>
      </c>
      <c r="AB521" s="51">
        <v>85.727999999999994</v>
      </c>
      <c r="AC521" s="52">
        <f t="shared" si="539"/>
        <v>6.6877308071885203E-2</v>
      </c>
    </row>
    <row r="522" spans="27:29">
      <c r="AA522" s="50">
        <v>628.29999999999995</v>
      </c>
      <c r="AB522" s="51">
        <v>85.837999999999994</v>
      </c>
      <c r="AC522" s="52">
        <f t="shared" ref="AC522:AC585" si="540">-LOG(AB522/100)</f>
        <v>6.6320409857141022E-2</v>
      </c>
    </row>
    <row r="523" spans="27:29">
      <c r="AA523" s="50">
        <v>628.20000000000005</v>
      </c>
      <c r="AB523" s="51">
        <v>85.932000000000002</v>
      </c>
      <c r="AC523" s="52">
        <f t="shared" si="540"/>
        <v>6.5845080225958197E-2</v>
      </c>
    </row>
    <row r="524" spans="27:29">
      <c r="AA524" s="50">
        <v>628.1</v>
      </c>
      <c r="AB524" s="51">
        <v>86.028999999999996</v>
      </c>
      <c r="AC524" s="52">
        <f t="shared" si="540"/>
        <v>6.5355125303473788E-2</v>
      </c>
    </row>
    <row r="525" spans="27:29">
      <c r="AA525" s="50">
        <v>628</v>
      </c>
      <c r="AB525" s="51">
        <v>86.096000000000004</v>
      </c>
      <c r="AC525" s="52">
        <f t="shared" si="540"/>
        <v>6.5017025297581299E-2</v>
      </c>
    </row>
    <row r="526" spans="27:29">
      <c r="AA526" s="50">
        <v>627.9</v>
      </c>
      <c r="AB526" s="51">
        <v>86.17</v>
      </c>
      <c r="AC526" s="52">
        <f t="shared" si="540"/>
        <v>6.4643907054426852E-2</v>
      </c>
    </row>
    <row r="527" spans="27:29">
      <c r="AA527" s="50">
        <v>627.79999999999995</v>
      </c>
      <c r="AB527" s="51">
        <v>86.308000000000007</v>
      </c>
      <c r="AC527" s="52">
        <f t="shared" si="540"/>
        <v>6.394894710253099E-2</v>
      </c>
    </row>
    <row r="528" spans="27:29">
      <c r="AA528" s="50">
        <v>627.70000000000005</v>
      </c>
      <c r="AB528" s="51">
        <v>86.326999999999998</v>
      </c>
      <c r="AC528" s="52">
        <f t="shared" si="540"/>
        <v>6.3853351247814674E-2</v>
      </c>
    </row>
    <row r="529" spans="27:29">
      <c r="AA529" s="50">
        <v>627.6</v>
      </c>
      <c r="AB529" s="51">
        <v>86.391000000000005</v>
      </c>
      <c r="AC529" s="52">
        <f t="shared" si="540"/>
        <v>6.3531498886000265E-2</v>
      </c>
    </row>
    <row r="530" spans="27:29">
      <c r="AA530" s="50">
        <v>627.5</v>
      </c>
      <c r="AB530" s="51">
        <v>86.513000000000005</v>
      </c>
      <c r="AC530" s="52">
        <f t="shared" si="540"/>
        <v>6.2918627748431377E-2</v>
      </c>
    </row>
    <row r="531" spans="27:29">
      <c r="AA531" s="50">
        <v>627.4</v>
      </c>
      <c r="AB531" s="51">
        <v>86.613</v>
      </c>
      <c r="AC531" s="52">
        <f t="shared" si="540"/>
        <v>6.2416918553738203E-2</v>
      </c>
    </row>
    <row r="532" spans="27:29">
      <c r="AA532" s="50">
        <v>627.29999999999995</v>
      </c>
      <c r="AB532" s="51">
        <v>86.71</v>
      </c>
      <c r="AC532" s="52">
        <f t="shared" si="540"/>
        <v>6.1930813776614274E-2</v>
      </c>
    </row>
    <row r="533" spans="27:29">
      <c r="AA533" s="50">
        <v>627.20000000000005</v>
      </c>
      <c r="AB533" s="51">
        <v>86.733000000000004</v>
      </c>
      <c r="AC533" s="52">
        <f t="shared" si="540"/>
        <v>6.1815631576786913E-2</v>
      </c>
    </row>
    <row r="534" spans="27:29">
      <c r="AA534" s="50">
        <v>627.1</v>
      </c>
      <c r="AB534" s="51">
        <v>86.816000000000003</v>
      </c>
      <c r="AC534" s="52">
        <f t="shared" si="540"/>
        <v>6.1400227918497897E-2</v>
      </c>
    </row>
    <row r="535" spans="27:29">
      <c r="AA535" s="50">
        <v>627</v>
      </c>
      <c r="AB535" s="51">
        <v>86.86</v>
      </c>
      <c r="AC535" s="52">
        <f t="shared" si="540"/>
        <v>6.1180174973789685E-2</v>
      </c>
    </row>
    <row r="536" spans="27:29">
      <c r="AA536" s="50">
        <v>626.9</v>
      </c>
      <c r="AB536" s="51">
        <v>86.957999999999998</v>
      </c>
      <c r="AC536" s="52">
        <f t="shared" si="540"/>
        <v>6.0690457410174162E-2</v>
      </c>
    </row>
    <row r="537" spans="27:29">
      <c r="AA537" s="50">
        <v>626.79999999999995</v>
      </c>
      <c r="AB537" s="51">
        <v>87.012</v>
      </c>
      <c r="AC537" s="52">
        <f t="shared" si="540"/>
        <v>6.0420848825062365E-2</v>
      </c>
    </row>
    <row r="538" spans="27:29">
      <c r="AA538" s="50">
        <v>626.70000000000005</v>
      </c>
      <c r="AB538" s="51">
        <v>87.063999999999993</v>
      </c>
      <c r="AC538" s="52">
        <f t="shared" si="540"/>
        <v>6.0161383835854218E-2</v>
      </c>
    </row>
    <row r="539" spans="27:29">
      <c r="AA539" s="50">
        <v>626.6</v>
      </c>
      <c r="AB539" s="51">
        <v>87.126000000000005</v>
      </c>
      <c r="AC539" s="52">
        <f t="shared" si="540"/>
        <v>5.9852224193910522E-2</v>
      </c>
    </row>
    <row r="540" spans="27:29">
      <c r="AA540" s="50">
        <v>626.5</v>
      </c>
      <c r="AB540" s="51">
        <v>87.174999999999997</v>
      </c>
      <c r="AC540" s="52">
        <f t="shared" si="540"/>
        <v>5.9608043951985844E-2</v>
      </c>
    </row>
    <row r="541" spans="27:29">
      <c r="AA541" s="50">
        <v>626.4</v>
      </c>
      <c r="AB541" s="51">
        <v>87.263000000000005</v>
      </c>
      <c r="AC541" s="52">
        <f t="shared" si="540"/>
        <v>5.9169860555597385E-2</v>
      </c>
    </row>
    <row r="542" spans="27:29">
      <c r="AA542" s="50">
        <v>626.29999999999995</v>
      </c>
      <c r="AB542" s="51">
        <v>87.277000000000001</v>
      </c>
      <c r="AC542" s="52">
        <f t="shared" si="540"/>
        <v>5.9100190305113987E-2</v>
      </c>
    </row>
    <row r="543" spans="27:29">
      <c r="AA543" s="50">
        <v>626.20000000000005</v>
      </c>
      <c r="AB543" s="51">
        <v>87.34</v>
      </c>
      <c r="AC543" s="52">
        <f t="shared" si="540"/>
        <v>5.8786812414678667E-2</v>
      </c>
    </row>
    <row r="544" spans="27:29">
      <c r="AA544" s="50">
        <v>626.1</v>
      </c>
      <c r="AB544" s="51">
        <v>87.429000000000002</v>
      </c>
      <c r="AC544" s="52">
        <f t="shared" si="540"/>
        <v>5.8344488979394357E-2</v>
      </c>
    </row>
    <row r="545" spans="27:29">
      <c r="AA545" s="50">
        <v>626</v>
      </c>
      <c r="AB545" s="51">
        <v>87.444999999999993</v>
      </c>
      <c r="AC545" s="52">
        <f t="shared" si="540"/>
        <v>5.8265017911884737E-2</v>
      </c>
    </row>
    <row r="546" spans="27:29">
      <c r="AA546" s="50">
        <v>625.9</v>
      </c>
      <c r="AB546" s="51">
        <v>87.527000000000001</v>
      </c>
      <c r="AC546" s="52">
        <f t="shared" si="540"/>
        <v>5.7857956780695427E-2</v>
      </c>
    </row>
    <row r="547" spans="27:29">
      <c r="AA547" s="50">
        <v>625.79999999999995</v>
      </c>
      <c r="AB547" s="51">
        <v>87.585999999999999</v>
      </c>
      <c r="AC547" s="52">
        <f t="shared" si="540"/>
        <v>5.7565307172706665E-2</v>
      </c>
    </row>
    <row r="548" spans="27:29">
      <c r="AA548" s="50">
        <v>625.70000000000005</v>
      </c>
      <c r="AB548" s="51">
        <v>87.67</v>
      </c>
      <c r="AC548" s="52">
        <f t="shared" si="540"/>
        <v>5.7148993445662592E-2</v>
      </c>
    </row>
    <row r="549" spans="27:29">
      <c r="AA549" s="50">
        <v>625.6</v>
      </c>
      <c r="AB549" s="51">
        <v>87.688999999999993</v>
      </c>
      <c r="AC549" s="52">
        <f t="shared" si="540"/>
        <v>5.7054882562406553E-2</v>
      </c>
    </row>
    <row r="550" spans="27:29">
      <c r="AA550" s="50">
        <v>625.5</v>
      </c>
      <c r="AB550" s="51">
        <v>87.790999999999997</v>
      </c>
      <c r="AC550" s="52">
        <f t="shared" si="540"/>
        <v>5.6550004033308378E-2</v>
      </c>
    </row>
    <row r="551" spans="27:29">
      <c r="AA551" s="50">
        <v>625.4</v>
      </c>
      <c r="AB551" s="51">
        <v>87.765000000000001</v>
      </c>
      <c r="AC551" s="52">
        <f t="shared" si="540"/>
        <v>5.6678642833600454E-2</v>
      </c>
    </row>
    <row r="552" spans="27:29">
      <c r="AA552" s="50">
        <v>625.29999999999995</v>
      </c>
      <c r="AB552" s="51">
        <v>87.811000000000007</v>
      </c>
      <c r="AC552" s="52">
        <f t="shared" si="540"/>
        <v>5.6451077031615615E-2</v>
      </c>
    </row>
    <row r="553" spans="27:29">
      <c r="AA553" s="50">
        <v>625.20000000000005</v>
      </c>
      <c r="AB553" s="51">
        <v>87.813000000000002</v>
      </c>
      <c r="AC553" s="52">
        <f t="shared" si="540"/>
        <v>5.6441185570723654E-2</v>
      </c>
    </row>
    <row r="554" spans="27:29">
      <c r="AA554" s="50">
        <v>625.1</v>
      </c>
      <c r="AB554" s="51">
        <v>87.88</v>
      </c>
      <c r="AC554" s="52">
        <f t="shared" si="540"/>
        <v>5.6109951751527345E-2</v>
      </c>
    </row>
    <row r="555" spans="27:29">
      <c r="AA555" s="50">
        <v>625</v>
      </c>
      <c r="AB555" s="51">
        <v>87.947999999999993</v>
      </c>
      <c r="AC555" s="52">
        <f t="shared" si="540"/>
        <v>5.5774032259276046E-2</v>
      </c>
    </row>
    <row r="556" spans="27:29">
      <c r="AA556" s="50">
        <v>624.9</v>
      </c>
      <c r="AB556" s="51">
        <v>87.978999999999999</v>
      </c>
      <c r="AC556" s="52">
        <f t="shared" si="540"/>
        <v>5.5620978673659914E-2</v>
      </c>
    </row>
    <row r="557" spans="27:29">
      <c r="AA557" s="50">
        <v>624.79999999999995</v>
      </c>
      <c r="AB557" s="51">
        <v>88.03</v>
      </c>
      <c r="AC557" s="52">
        <f t="shared" si="540"/>
        <v>5.5369298143721775E-2</v>
      </c>
    </row>
    <row r="558" spans="27:29">
      <c r="AA558" s="50">
        <v>624.70000000000005</v>
      </c>
      <c r="AB558" s="51">
        <v>88.058000000000007</v>
      </c>
      <c r="AC558" s="52">
        <f t="shared" si="540"/>
        <v>5.5231182592454423E-2</v>
      </c>
    </row>
    <row r="559" spans="27:29">
      <c r="AA559" s="50">
        <v>624.6</v>
      </c>
      <c r="AB559" s="51">
        <v>88.138000000000005</v>
      </c>
      <c r="AC559" s="52">
        <f t="shared" si="540"/>
        <v>5.4836808589188199E-2</v>
      </c>
    </row>
    <row r="560" spans="27:29">
      <c r="AA560" s="50">
        <v>624.5</v>
      </c>
      <c r="AB560" s="51">
        <v>88.183000000000007</v>
      </c>
      <c r="AC560" s="52">
        <f t="shared" si="540"/>
        <v>5.4615130489472696E-2</v>
      </c>
    </row>
    <row r="561" spans="27:29">
      <c r="AA561" s="50">
        <v>624.4</v>
      </c>
      <c r="AB561" s="51">
        <v>88.209000000000003</v>
      </c>
      <c r="AC561" s="52">
        <f t="shared" si="540"/>
        <v>5.4487101365575275E-2</v>
      </c>
    </row>
    <row r="562" spans="27:29">
      <c r="AA562" s="50">
        <v>624.29999999999995</v>
      </c>
      <c r="AB562" s="51">
        <v>88.25</v>
      </c>
      <c r="AC562" s="52">
        <f t="shared" si="540"/>
        <v>5.428528594013985E-2</v>
      </c>
    </row>
    <row r="563" spans="27:29">
      <c r="AA563" s="50">
        <v>624.20000000000005</v>
      </c>
      <c r="AB563" s="51">
        <v>88.287000000000006</v>
      </c>
      <c r="AC563" s="52">
        <f t="shared" si="540"/>
        <v>5.4103240294573078E-2</v>
      </c>
    </row>
    <row r="564" spans="27:29">
      <c r="AA564" s="50">
        <v>624.1</v>
      </c>
      <c r="AB564" s="51">
        <v>88.308999999999997</v>
      </c>
      <c r="AC564" s="52">
        <f t="shared" si="540"/>
        <v>5.3995033102436286E-2</v>
      </c>
    </row>
    <row r="565" spans="27:29">
      <c r="AA565" s="50">
        <v>624</v>
      </c>
      <c r="AB565" s="51">
        <v>88.340999999999994</v>
      </c>
      <c r="AC565" s="52">
        <f t="shared" si="540"/>
        <v>5.3837688935179921E-2</v>
      </c>
    </row>
    <row r="566" spans="27:29">
      <c r="AA566" s="50">
        <v>623.9</v>
      </c>
      <c r="AB566" s="51">
        <v>88.381</v>
      </c>
      <c r="AC566" s="52">
        <f t="shared" si="540"/>
        <v>5.3641088856267338E-2</v>
      </c>
    </row>
    <row r="567" spans="27:29">
      <c r="AA567" s="50">
        <v>623.79999999999995</v>
      </c>
      <c r="AB567" s="51">
        <v>88.4</v>
      </c>
      <c r="AC567" s="52">
        <f t="shared" si="540"/>
        <v>5.3547734986926908E-2</v>
      </c>
    </row>
    <row r="568" spans="27:29">
      <c r="AA568" s="50">
        <v>623.70000000000005</v>
      </c>
      <c r="AB568" s="51">
        <v>88.441999999999993</v>
      </c>
      <c r="AC568" s="52">
        <f t="shared" si="540"/>
        <v>5.3341444981352522E-2</v>
      </c>
    </row>
    <row r="569" spans="27:29">
      <c r="AA569" s="50">
        <v>623.6</v>
      </c>
      <c r="AB569" s="51">
        <v>88.488</v>
      </c>
      <c r="AC569" s="52">
        <f t="shared" si="540"/>
        <v>5.3115620682277452E-2</v>
      </c>
    </row>
    <row r="570" spans="27:29">
      <c r="AA570" s="50">
        <v>623.5</v>
      </c>
      <c r="AB570" s="51">
        <v>88.474000000000004</v>
      </c>
      <c r="AC570" s="52">
        <f t="shared" si="540"/>
        <v>5.3184337387099129E-2</v>
      </c>
    </row>
    <row r="571" spans="27:29">
      <c r="AA571" s="50">
        <v>623.4</v>
      </c>
      <c r="AB571" s="51">
        <v>88.507999999999996</v>
      </c>
      <c r="AC571" s="52">
        <f t="shared" si="540"/>
        <v>5.3017472818201065E-2</v>
      </c>
    </row>
    <row r="572" spans="27:29">
      <c r="AA572" s="50">
        <v>623.29999999999995</v>
      </c>
      <c r="AB572" s="51">
        <v>88.563000000000002</v>
      </c>
      <c r="AC572" s="52">
        <f t="shared" si="540"/>
        <v>5.27476805058196E-2</v>
      </c>
    </row>
    <row r="573" spans="27:29">
      <c r="AA573" s="50">
        <v>623.20000000000005</v>
      </c>
      <c r="AB573" s="51">
        <v>88.590999999999994</v>
      </c>
      <c r="AC573" s="52">
        <f t="shared" si="540"/>
        <v>5.2610396046032661E-2</v>
      </c>
    </row>
    <row r="574" spans="27:29">
      <c r="AA574" s="50">
        <v>623.1</v>
      </c>
      <c r="AB574" s="51">
        <v>88.594999999999999</v>
      </c>
      <c r="AC574" s="52">
        <f t="shared" si="540"/>
        <v>5.2590787522470865E-2</v>
      </c>
    </row>
    <row r="575" spans="27:29">
      <c r="AA575" s="50">
        <v>623</v>
      </c>
      <c r="AB575" s="51">
        <v>88.715000000000003</v>
      </c>
      <c r="AC575" s="52">
        <f t="shared" si="540"/>
        <v>5.2002943116794639E-2</v>
      </c>
    </row>
    <row r="576" spans="27:29">
      <c r="AA576" s="50">
        <v>622.9</v>
      </c>
      <c r="AB576" s="51">
        <v>88.691000000000003</v>
      </c>
      <c r="AC576" s="52">
        <f t="shared" si="540"/>
        <v>5.2120448360464686E-2</v>
      </c>
    </row>
    <row r="577" spans="27:29">
      <c r="AA577" s="50">
        <v>622.79999999999995</v>
      </c>
      <c r="AB577" s="51">
        <v>88.691999999999993</v>
      </c>
      <c r="AC577" s="52">
        <f t="shared" si="540"/>
        <v>5.2115551673838509E-2</v>
      </c>
    </row>
    <row r="578" spans="27:29">
      <c r="AA578" s="50">
        <v>622.70000000000005</v>
      </c>
      <c r="AB578" s="51">
        <v>88.706000000000003</v>
      </c>
      <c r="AC578" s="52">
        <f t="shared" si="540"/>
        <v>5.2047003857524074E-2</v>
      </c>
    </row>
    <row r="579" spans="27:29">
      <c r="AA579" s="50">
        <v>622.6</v>
      </c>
      <c r="AB579" s="51">
        <v>88.713999999999999</v>
      </c>
      <c r="AC579" s="52">
        <f t="shared" si="540"/>
        <v>5.2007838533912533E-2</v>
      </c>
    </row>
    <row r="580" spans="27:29">
      <c r="AA580" s="50">
        <v>622.5</v>
      </c>
      <c r="AB580" s="51">
        <v>88.784999999999997</v>
      </c>
      <c r="AC580" s="52">
        <f t="shared" si="540"/>
        <v>5.1660400972465173E-2</v>
      </c>
    </row>
    <row r="581" spans="27:29">
      <c r="AA581" s="50">
        <v>622.4</v>
      </c>
      <c r="AB581" s="51">
        <v>88.808999999999997</v>
      </c>
      <c r="AC581" s="52">
        <f t="shared" si="540"/>
        <v>5.1543020119180376E-2</v>
      </c>
    </row>
    <row r="582" spans="27:29">
      <c r="AA582" s="50">
        <v>622.29999999999995</v>
      </c>
      <c r="AB582" s="51">
        <v>88.847999999999999</v>
      </c>
      <c r="AC582" s="52">
        <f t="shared" si="540"/>
        <v>5.1352343871508693E-2</v>
      </c>
    </row>
    <row r="583" spans="27:29">
      <c r="AA583" s="50">
        <v>622.20000000000005</v>
      </c>
      <c r="AB583" s="51">
        <v>88.831000000000003</v>
      </c>
      <c r="AC583" s="52">
        <f t="shared" si="540"/>
        <v>5.1435448866639005E-2</v>
      </c>
    </row>
    <row r="584" spans="27:29">
      <c r="AA584" s="50">
        <v>622.1</v>
      </c>
      <c r="AB584" s="51">
        <v>88.828000000000003</v>
      </c>
      <c r="AC584" s="52">
        <f t="shared" si="540"/>
        <v>5.1450116104953217E-2</v>
      </c>
    </row>
    <row r="585" spans="27:29">
      <c r="AA585" s="50">
        <v>622</v>
      </c>
      <c r="AB585" s="51">
        <v>88.864000000000004</v>
      </c>
      <c r="AC585" s="52">
        <f t="shared" si="540"/>
        <v>5.1274141929836391E-2</v>
      </c>
    </row>
    <row r="586" spans="27:29">
      <c r="AA586" s="50">
        <v>621.9</v>
      </c>
      <c r="AB586" s="51">
        <v>88.924999999999997</v>
      </c>
      <c r="AC586" s="52">
        <f t="shared" ref="AC586:AC649" si="541">-LOG(AB586/100)</f>
        <v>5.0976126142182061E-2</v>
      </c>
    </row>
    <row r="587" spans="27:29">
      <c r="AA587" s="50">
        <v>621.79999999999995</v>
      </c>
      <c r="AB587" s="51">
        <v>89.043999999999997</v>
      </c>
      <c r="AC587" s="52">
        <f t="shared" si="541"/>
        <v>5.0395339027024956E-2</v>
      </c>
    </row>
    <row r="588" spans="27:29">
      <c r="AA588" s="50">
        <v>621.70000000000005</v>
      </c>
      <c r="AB588" s="51">
        <v>89.037999999999997</v>
      </c>
      <c r="AC588" s="52">
        <f t="shared" si="541"/>
        <v>5.0424603825178708E-2</v>
      </c>
    </row>
    <row r="589" spans="27:29">
      <c r="AA589" s="50">
        <v>621.6</v>
      </c>
      <c r="AB589" s="51">
        <v>89.009</v>
      </c>
      <c r="AC589" s="52">
        <f t="shared" si="541"/>
        <v>5.0566078155962882E-2</v>
      </c>
    </row>
    <row r="590" spans="27:29">
      <c r="AA590" s="50">
        <v>621.5</v>
      </c>
      <c r="AB590" s="51">
        <v>88.998000000000005</v>
      </c>
      <c r="AC590" s="52">
        <f t="shared" si="541"/>
        <v>5.0619752891304964E-2</v>
      </c>
    </row>
    <row r="591" spans="27:29">
      <c r="AA591" s="50">
        <v>621.4</v>
      </c>
      <c r="AB591" s="51">
        <v>89.05</v>
      </c>
      <c r="AC591" s="52">
        <f t="shared" si="541"/>
        <v>5.0366076200737679E-2</v>
      </c>
    </row>
    <row r="592" spans="27:29">
      <c r="AA592" s="50">
        <v>621.29999999999995</v>
      </c>
      <c r="AB592" s="51">
        <v>89.100999999999999</v>
      </c>
      <c r="AC592" s="52">
        <f t="shared" si="541"/>
        <v>5.0117421753868178E-2</v>
      </c>
    </row>
    <row r="593" spans="27:29">
      <c r="AA593" s="50">
        <v>621.20000000000005</v>
      </c>
      <c r="AB593" s="51">
        <v>89.174999999999997</v>
      </c>
      <c r="AC593" s="52">
        <f t="shared" si="541"/>
        <v>4.9756881989608405E-2</v>
      </c>
    </row>
    <row r="594" spans="27:29">
      <c r="AA594" s="50">
        <v>621.1</v>
      </c>
      <c r="AB594" s="51">
        <v>89.191000000000003</v>
      </c>
      <c r="AC594" s="52">
        <f t="shared" si="541"/>
        <v>4.9678966784590724E-2</v>
      </c>
    </row>
    <row r="595" spans="27:29">
      <c r="AA595" s="50">
        <v>621</v>
      </c>
      <c r="AB595" s="51">
        <v>89.201999999999998</v>
      </c>
      <c r="AC595" s="52">
        <f t="shared" si="541"/>
        <v>4.9625408188603289E-2</v>
      </c>
    </row>
    <row r="596" spans="27:29">
      <c r="AA596" s="50">
        <v>620.9</v>
      </c>
      <c r="AB596" s="51">
        <v>89.212999999999994</v>
      </c>
      <c r="AC596" s="52">
        <f t="shared" si="541"/>
        <v>4.9571856196820238E-2</v>
      </c>
    </row>
    <row r="597" spans="27:29">
      <c r="AA597" s="50">
        <v>620.79999999999995</v>
      </c>
      <c r="AB597" s="51">
        <v>89.183000000000007</v>
      </c>
      <c r="AC597" s="52">
        <f t="shared" si="541"/>
        <v>4.9717922639788782E-2</v>
      </c>
    </row>
    <row r="598" spans="27:29">
      <c r="AA598" s="50">
        <v>620.70000000000005</v>
      </c>
      <c r="AB598" s="51">
        <v>89.238</v>
      </c>
      <c r="AC598" s="52">
        <f t="shared" si="541"/>
        <v>4.9450171677051673E-2</v>
      </c>
    </row>
    <row r="599" spans="27:29">
      <c r="AA599" s="50">
        <v>620.6</v>
      </c>
      <c r="AB599" s="51">
        <v>89.239000000000004</v>
      </c>
      <c r="AC599" s="52">
        <f t="shared" si="541"/>
        <v>4.9445305005358278E-2</v>
      </c>
    </row>
    <row r="600" spans="27:29">
      <c r="AA600" s="50">
        <v>620.5</v>
      </c>
      <c r="AB600" s="51">
        <v>89.304000000000002</v>
      </c>
      <c r="AC600" s="52">
        <f t="shared" si="541"/>
        <v>4.9129088266859883E-2</v>
      </c>
    </row>
    <row r="601" spans="27:29">
      <c r="AA601" s="50">
        <v>620.4</v>
      </c>
      <c r="AB601" s="51">
        <v>89.251999999999995</v>
      </c>
      <c r="AC601" s="52">
        <f t="shared" si="541"/>
        <v>4.9382043235580264E-2</v>
      </c>
    </row>
    <row r="602" spans="27:29">
      <c r="AA602" s="50">
        <v>620.29999999999995</v>
      </c>
      <c r="AB602" s="51">
        <v>89.228999999999999</v>
      </c>
      <c r="AC602" s="52">
        <f t="shared" si="541"/>
        <v>4.9493974176566306E-2</v>
      </c>
    </row>
    <row r="603" spans="27:29">
      <c r="AA603" s="50">
        <v>620.20000000000005</v>
      </c>
      <c r="AB603" s="51">
        <v>89.251000000000005</v>
      </c>
      <c r="AC603" s="52">
        <f t="shared" si="541"/>
        <v>4.9386909198414569E-2</v>
      </c>
    </row>
    <row r="604" spans="27:29">
      <c r="AA604" s="50">
        <v>620.1</v>
      </c>
      <c r="AB604" s="51">
        <v>89.308000000000007</v>
      </c>
      <c r="AC604" s="52">
        <f t="shared" si="541"/>
        <v>4.9109636293555678E-2</v>
      </c>
    </row>
    <row r="605" spans="27:29">
      <c r="AA605" s="50">
        <v>620</v>
      </c>
      <c r="AB605" s="51">
        <v>89.337999999999994</v>
      </c>
      <c r="AC605" s="52">
        <f t="shared" si="541"/>
        <v>4.8963774258250506E-2</v>
      </c>
    </row>
    <row r="606" spans="27:29">
      <c r="AA606" s="50">
        <v>619.9</v>
      </c>
      <c r="AB606" s="51">
        <v>89.415999999999997</v>
      </c>
      <c r="AC606" s="52">
        <f t="shared" si="541"/>
        <v>4.8584762076834272E-2</v>
      </c>
    </row>
    <row r="607" spans="27:29">
      <c r="AA607" s="50">
        <v>619.79999999999995</v>
      </c>
      <c r="AB607" s="51">
        <v>89.447000000000003</v>
      </c>
      <c r="AC607" s="52">
        <f t="shared" si="541"/>
        <v>4.8434220834947382E-2</v>
      </c>
    </row>
    <row r="608" spans="27:29">
      <c r="AA608" s="50">
        <v>619.70000000000005</v>
      </c>
      <c r="AB608" s="51">
        <v>89.414000000000001</v>
      </c>
      <c r="AC608" s="52">
        <f t="shared" si="541"/>
        <v>4.8594476207168544E-2</v>
      </c>
    </row>
    <row r="609" spans="27:29">
      <c r="AA609" s="50">
        <v>619.6</v>
      </c>
      <c r="AB609" s="51">
        <v>89.438999999999993</v>
      </c>
      <c r="AC609" s="52">
        <f t="shared" si="541"/>
        <v>4.8473065192331924E-2</v>
      </c>
    </row>
    <row r="610" spans="27:29">
      <c r="AA610" s="50">
        <v>619.5</v>
      </c>
      <c r="AB610" s="51">
        <v>89.394000000000005</v>
      </c>
      <c r="AC610" s="52">
        <f t="shared" si="541"/>
        <v>4.8691629462887374E-2</v>
      </c>
    </row>
    <row r="611" spans="27:29">
      <c r="AA611" s="50">
        <v>619.4</v>
      </c>
      <c r="AB611" s="51">
        <v>89.433000000000007</v>
      </c>
      <c r="AC611" s="52">
        <f t="shared" si="541"/>
        <v>4.8502200740571891E-2</v>
      </c>
    </row>
    <row r="612" spans="27:29">
      <c r="AA612" s="50">
        <v>619.29999999999995</v>
      </c>
      <c r="AB612" s="51">
        <v>89.5</v>
      </c>
      <c r="AC612" s="52">
        <f t="shared" si="541"/>
        <v>4.8176964684088018E-2</v>
      </c>
    </row>
    <row r="613" spans="27:29">
      <c r="AA613" s="50">
        <v>619.20000000000005</v>
      </c>
      <c r="AB613" s="51">
        <v>89.503</v>
      </c>
      <c r="AC613" s="52">
        <f t="shared" si="541"/>
        <v>4.8162407571125325E-2</v>
      </c>
    </row>
    <row r="614" spans="27:29">
      <c r="AA614" s="50">
        <v>619.1</v>
      </c>
      <c r="AB614" s="51">
        <v>89.552000000000007</v>
      </c>
      <c r="AC614" s="52">
        <f t="shared" si="541"/>
        <v>4.7924710437345329E-2</v>
      </c>
    </row>
    <row r="615" spans="27:29">
      <c r="AA615" s="50">
        <v>619</v>
      </c>
      <c r="AB615" s="51">
        <v>89.549000000000007</v>
      </c>
      <c r="AC615" s="52">
        <f t="shared" si="541"/>
        <v>4.7939259584986384E-2</v>
      </c>
    </row>
    <row r="616" spans="27:29">
      <c r="AA616" s="50">
        <v>618.9</v>
      </c>
      <c r="AB616" s="51">
        <v>89.572999999999993</v>
      </c>
      <c r="AC616" s="52">
        <f t="shared" si="541"/>
        <v>4.7822880048937852E-2</v>
      </c>
    </row>
    <row r="617" spans="27:29">
      <c r="AA617" s="50">
        <v>618.79999999999995</v>
      </c>
      <c r="AB617" s="51">
        <v>89.566000000000003</v>
      </c>
      <c r="AC617" s="52">
        <f t="shared" si="541"/>
        <v>4.7856820858866077E-2</v>
      </c>
    </row>
    <row r="618" spans="27:29">
      <c r="AA618" s="50">
        <v>618.70000000000005</v>
      </c>
      <c r="AB618" s="51">
        <v>89.578999999999994</v>
      </c>
      <c r="AC618" s="52">
        <f t="shared" si="541"/>
        <v>4.7793790037189213E-2</v>
      </c>
    </row>
    <row r="619" spans="27:29">
      <c r="AA619" s="50">
        <v>618.6</v>
      </c>
      <c r="AB619" s="51">
        <v>89.647000000000006</v>
      </c>
      <c r="AC619" s="52">
        <f t="shared" si="541"/>
        <v>4.7464239344918162E-2</v>
      </c>
    </row>
    <row r="620" spans="27:29">
      <c r="AA620" s="50">
        <v>618.5</v>
      </c>
      <c r="AB620" s="51">
        <v>89.641999999999996</v>
      </c>
      <c r="AC620" s="52">
        <f t="shared" si="541"/>
        <v>4.7488462497594391E-2</v>
      </c>
    </row>
    <row r="621" spans="27:29">
      <c r="AA621" s="50">
        <v>618.4</v>
      </c>
      <c r="AB621" s="51">
        <v>89.667000000000002</v>
      </c>
      <c r="AC621" s="52">
        <f t="shared" si="541"/>
        <v>4.7367360242627457E-2</v>
      </c>
    </row>
    <row r="622" spans="27:29">
      <c r="AA622" s="50">
        <v>618.29999999999995</v>
      </c>
      <c r="AB622" s="51">
        <v>89.611000000000004</v>
      </c>
      <c r="AC622" s="52">
        <f t="shared" si="541"/>
        <v>4.7638676207526348E-2</v>
      </c>
    </row>
    <row r="623" spans="27:29">
      <c r="AA623" s="50">
        <v>618.20000000000005</v>
      </c>
      <c r="AB623" s="51">
        <v>89.626999999999995</v>
      </c>
      <c r="AC623" s="52">
        <f t="shared" si="541"/>
        <v>4.7561140063082631E-2</v>
      </c>
    </row>
    <row r="624" spans="27:29">
      <c r="AA624" s="50">
        <v>618.1</v>
      </c>
      <c r="AB624" s="51">
        <v>89.665000000000006</v>
      </c>
      <c r="AC624" s="52">
        <f t="shared" si="541"/>
        <v>4.737704718041702E-2</v>
      </c>
    </row>
    <row r="625" spans="27:29">
      <c r="AA625" s="50">
        <v>618</v>
      </c>
      <c r="AB625" s="51">
        <v>89.730999999999995</v>
      </c>
      <c r="AC625" s="52">
        <f t="shared" si="541"/>
        <v>4.7057492261702881E-2</v>
      </c>
    </row>
    <row r="626" spans="27:29">
      <c r="AA626" s="50">
        <v>617.9</v>
      </c>
      <c r="AB626" s="51">
        <v>89.814999999999998</v>
      </c>
      <c r="AC626" s="52">
        <f t="shared" si="541"/>
        <v>4.6651125769087989E-2</v>
      </c>
    </row>
    <row r="627" spans="27:29">
      <c r="AA627" s="50">
        <v>617.79999999999995</v>
      </c>
      <c r="AB627" s="51">
        <v>89.781000000000006</v>
      </c>
      <c r="AC627" s="52">
        <f t="shared" si="541"/>
        <v>4.6815561642505096E-2</v>
      </c>
    </row>
    <row r="628" spans="27:29">
      <c r="AA628" s="50">
        <v>617.70000000000005</v>
      </c>
      <c r="AB628" s="51">
        <v>89.731999999999999</v>
      </c>
      <c r="AC628" s="52">
        <f t="shared" si="541"/>
        <v>4.7052652328324854E-2</v>
      </c>
    </row>
    <row r="629" spans="27:29">
      <c r="AA629" s="50">
        <v>617.6</v>
      </c>
      <c r="AB629" s="51">
        <v>89.688999999999993</v>
      </c>
      <c r="AC629" s="52">
        <f t="shared" si="541"/>
        <v>4.7260818184934494E-2</v>
      </c>
    </row>
    <row r="630" spans="27:29">
      <c r="AA630" s="50">
        <v>617.5</v>
      </c>
      <c r="AB630" s="51">
        <v>89.673000000000002</v>
      </c>
      <c r="AC630" s="52">
        <f t="shared" si="541"/>
        <v>4.7338300725593953E-2</v>
      </c>
    </row>
    <row r="631" spans="27:29">
      <c r="AA631" s="50">
        <v>617.4</v>
      </c>
      <c r="AB631" s="51">
        <v>89.697999999999993</v>
      </c>
      <c r="AC631" s="52">
        <f t="shared" si="541"/>
        <v>4.7217240329901461E-2</v>
      </c>
    </row>
    <row r="632" spans="27:29">
      <c r="AA632" s="50">
        <v>617.29999999999995</v>
      </c>
      <c r="AB632" s="51">
        <v>89.775999999999996</v>
      </c>
      <c r="AC632" s="52">
        <f t="shared" si="541"/>
        <v>4.6839748640618031E-2</v>
      </c>
    </row>
    <row r="633" spans="27:29">
      <c r="AA633" s="50">
        <v>617.20000000000005</v>
      </c>
      <c r="AB633" s="51">
        <v>89.781000000000006</v>
      </c>
      <c r="AC633" s="52">
        <f t="shared" si="541"/>
        <v>4.6815561642505096E-2</v>
      </c>
    </row>
    <row r="634" spans="27:29">
      <c r="AA634" s="50">
        <v>617.1</v>
      </c>
      <c r="AB634" s="51">
        <v>89.781000000000006</v>
      </c>
      <c r="AC634" s="52">
        <f t="shared" si="541"/>
        <v>4.6815561642505096E-2</v>
      </c>
    </row>
    <row r="635" spans="27:29">
      <c r="AA635" s="50">
        <v>617</v>
      </c>
      <c r="AB635" s="51">
        <v>89.753</v>
      </c>
      <c r="AC635" s="52">
        <f t="shared" si="541"/>
        <v>4.6951026185064006E-2</v>
      </c>
    </row>
    <row r="636" spans="27:29">
      <c r="AA636" s="50">
        <v>616.9</v>
      </c>
      <c r="AB636" s="51">
        <v>89.774000000000001</v>
      </c>
      <c r="AC636" s="52">
        <f t="shared" si="541"/>
        <v>4.6849423817046244E-2</v>
      </c>
    </row>
    <row r="637" spans="27:29">
      <c r="AA637" s="50">
        <v>616.79999999999995</v>
      </c>
      <c r="AB637" s="51">
        <v>89.8</v>
      </c>
      <c r="AC637" s="52">
        <f t="shared" si="541"/>
        <v>4.672366333269562E-2</v>
      </c>
    </row>
    <row r="638" spans="27:29">
      <c r="AA638" s="50">
        <v>616.70000000000005</v>
      </c>
      <c r="AB638" s="51">
        <v>89.896000000000001</v>
      </c>
      <c r="AC638" s="52">
        <f t="shared" si="541"/>
        <v>4.6259632144142256E-2</v>
      </c>
    </row>
    <row r="639" spans="27:29">
      <c r="AA639" s="50">
        <v>616.6</v>
      </c>
      <c r="AB639" s="51">
        <v>89.926000000000002</v>
      </c>
      <c r="AC639" s="52">
        <f t="shared" si="541"/>
        <v>4.6114724017461681E-2</v>
      </c>
    </row>
    <row r="640" spans="27:29">
      <c r="AA640" s="50">
        <v>616.5</v>
      </c>
      <c r="AB640" s="51">
        <v>89.927999999999997</v>
      </c>
      <c r="AC640" s="52">
        <f t="shared" si="541"/>
        <v>4.6105065194596041E-2</v>
      </c>
    </row>
    <row r="641" spans="27:29">
      <c r="AA641" s="50">
        <v>616.4</v>
      </c>
      <c r="AB641" s="51">
        <v>89.887</v>
      </c>
      <c r="AC641" s="52">
        <f t="shared" si="541"/>
        <v>4.6303114012176398E-2</v>
      </c>
    </row>
    <row r="642" spans="27:29">
      <c r="AA642" s="50">
        <v>616.29999999999995</v>
      </c>
      <c r="AB642" s="51">
        <v>89.933000000000007</v>
      </c>
      <c r="AC642" s="52">
        <f t="shared" si="541"/>
        <v>4.6080919077204498E-2</v>
      </c>
    </row>
    <row r="643" spans="27:29">
      <c r="AA643" s="50">
        <v>616.20000000000005</v>
      </c>
      <c r="AB643" s="51">
        <v>89.903000000000006</v>
      </c>
      <c r="AC643" s="52">
        <f t="shared" si="541"/>
        <v>4.6225815922974575E-2</v>
      </c>
    </row>
    <row r="644" spans="27:29">
      <c r="AA644" s="50">
        <v>616.1</v>
      </c>
      <c r="AB644" s="51">
        <v>89.896000000000001</v>
      </c>
      <c r="AC644" s="52">
        <f t="shared" si="541"/>
        <v>4.6259632144142256E-2</v>
      </c>
    </row>
    <row r="645" spans="27:29">
      <c r="AA645" s="50">
        <v>616</v>
      </c>
      <c r="AB645" s="51">
        <v>89.944000000000003</v>
      </c>
      <c r="AC645" s="52">
        <f t="shared" si="541"/>
        <v>4.6027802344026959E-2</v>
      </c>
    </row>
    <row r="646" spans="27:29">
      <c r="AA646" s="50">
        <v>615.9</v>
      </c>
      <c r="AB646" s="51">
        <v>89.953999999999994</v>
      </c>
      <c r="AC646" s="52">
        <f t="shared" si="541"/>
        <v>4.5979520041572228E-2</v>
      </c>
    </row>
    <row r="647" spans="27:29">
      <c r="AA647" s="50">
        <v>615.79999999999995</v>
      </c>
      <c r="AB647" s="51">
        <v>89.971000000000004</v>
      </c>
      <c r="AC647" s="52">
        <f t="shared" si="541"/>
        <v>4.5897452444358611E-2</v>
      </c>
    </row>
    <row r="648" spans="27:29">
      <c r="AA648" s="50">
        <v>615.70000000000005</v>
      </c>
      <c r="AB648" s="51">
        <v>89.93</v>
      </c>
      <c r="AC648" s="52">
        <f t="shared" si="541"/>
        <v>4.6095406586540266E-2</v>
      </c>
    </row>
    <row r="649" spans="27:29">
      <c r="AA649" s="50">
        <v>615.6</v>
      </c>
      <c r="AB649" s="51">
        <v>89.924999999999997</v>
      </c>
      <c r="AC649" s="52">
        <f t="shared" si="541"/>
        <v>4.611955350945128E-2</v>
      </c>
    </row>
    <row r="650" spans="27:29">
      <c r="AA650" s="50">
        <v>615.5</v>
      </c>
      <c r="AB650" s="51">
        <v>89.95</v>
      </c>
      <c r="AC650" s="52">
        <f t="shared" ref="AC650:AC713" si="542">-LOG(AB650/100)</f>
        <v>4.5998832318429793E-2</v>
      </c>
    </row>
    <row r="651" spans="27:29">
      <c r="AA651" s="50">
        <v>615.4</v>
      </c>
      <c r="AB651" s="51">
        <v>89.971000000000004</v>
      </c>
      <c r="AC651" s="52">
        <f t="shared" si="542"/>
        <v>4.5897452444358611E-2</v>
      </c>
    </row>
    <row r="652" spans="27:29">
      <c r="AA652" s="50">
        <v>615.29999999999995</v>
      </c>
      <c r="AB652" s="51">
        <v>90.022000000000006</v>
      </c>
      <c r="AC652" s="52">
        <f t="shared" si="542"/>
        <v>4.5651342660424747E-2</v>
      </c>
    </row>
    <row r="653" spans="27:29">
      <c r="AA653" s="50">
        <v>615.20000000000005</v>
      </c>
      <c r="AB653" s="51">
        <v>90.019000000000005</v>
      </c>
      <c r="AC653" s="52">
        <f t="shared" si="542"/>
        <v>4.5665815846486026E-2</v>
      </c>
    </row>
    <row r="654" spans="27:29">
      <c r="AA654" s="50">
        <v>615.1</v>
      </c>
      <c r="AB654" s="51">
        <v>90.004999999999995</v>
      </c>
      <c r="AC654" s="52">
        <f t="shared" si="542"/>
        <v>4.5733363759641037E-2</v>
      </c>
    </row>
    <row r="655" spans="27:29">
      <c r="AA655" s="50">
        <v>615</v>
      </c>
      <c r="AB655" s="51">
        <v>89.921000000000006</v>
      </c>
      <c r="AC655" s="52">
        <f t="shared" si="542"/>
        <v>4.6138872014482211E-2</v>
      </c>
    </row>
    <row r="656" spans="27:29">
      <c r="AA656" s="50">
        <v>614.9</v>
      </c>
      <c r="AB656" s="51">
        <v>89.906999999999996</v>
      </c>
      <c r="AC656" s="52">
        <f t="shared" si="542"/>
        <v>4.620649355016003E-2</v>
      </c>
    </row>
    <row r="657" spans="27:29">
      <c r="AA657" s="50">
        <v>614.79999999999995</v>
      </c>
      <c r="AB657" s="51">
        <v>89.938000000000002</v>
      </c>
      <c r="AC657" s="52">
        <f t="shared" si="542"/>
        <v>4.6056774302226038E-2</v>
      </c>
    </row>
    <row r="658" spans="27:29">
      <c r="AA658" s="50">
        <v>614.70000000000005</v>
      </c>
      <c r="AB658" s="51">
        <v>89.997</v>
      </c>
      <c r="AC658" s="52">
        <f t="shared" si="542"/>
        <v>4.5771967284685286E-2</v>
      </c>
    </row>
    <row r="659" spans="27:29">
      <c r="AA659" s="50">
        <v>614.6</v>
      </c>
      <c r="AB659" s="51">
        <v>90.024000000000001</v>
      </c>
      <c r="AC659" s="52">
        <f t="shared" si="542"/>
        <v>4.5641694137671197E-2</v>
      </c>
    </row>
    <row r="660" spans="27:29">
      <c r="AA660" s="50">
        <v>614.5</v>
      </c>
      <c r="AB660" s="51">
        <v>90.02</v>
      </c>
      <c r="AC660" s="52">
        <f t="shared" si="542"/>
        <v>4.5660991397539902E-2</v>
      </c>
    </row>
    <row r="661" spans="27:29">
      <c r="AA661" s="50">
        <v>614.4</v>
      </c>
      <c r="AB661" s="51">
        <v>89.960999999999999</v>
      </c>
      <c r="AC661" s="52">
        <f t="shared" si="542"/>
        <v>4.5945725623376281E-2</v>
      </c>
    </row>
    <row r="662" spans="27:29">
      <c r="AA662" s="50">
        <v>614.29999999999995</v>
      </c>
      <c r="AB662" s="51">
        <v>89.962999999999994</v>
      </c>
      <c r="AC662" s="52">
        <f t="shared" si="542"/>
        <v>4.5936070558306154E-2</v>
      </c>
    </row>
    <row r="663" spans="27:29">
      <c r="AA663" s="50">
        <v>614.20000000000005</v>
      </c>
      <c r="AB663" s="51">
        <v>90.022999999999996</v>
      </c>
      <c r="AC663" s="52">
        <f t="shared" si="542"/>
        <v>4.5646518372253392E-2</v>
      </c>
    </row>
    <row r="664" spans="27:29">
      <c r="AA664" s="50">
        <v>614.1</v>
      </c>
      <c r="AB664" s="51">
        <v>90.067999999999998</v>
      </c>
      <c r="AC664" s="52">
        <f t="shared" si="542"/>
        <v>4.5429480851306943E-2</v>
      </c>
    </row>
    <row r="665" spans="27:29">
      <c r="AA665" s="50">
        <v>614</v>
      </c>
      <c r="AB665" s="51">
        <v>90.048000000000002</v>
      </c>
      <c r="AC665" s="52">
        <f t="shared" si="542"/>
        <v>4.5525928581367101E-2</v>
      </c>
    </row>
    <row r="666" spans="27:29">
      <c r="AA666" s="50">
        <v>613.9</v>
      </c>
      <c r="AB666" s="51">
        <v>90.096999999999994</v>
      </c>
      <c r="AC666" s="52">
        <f t="shared" si="542"/>
        <v>4.5289669677283498E-2</v>
      </c>
    </row>
    <row r="667" spans="27:29">
      <c r="AA667" s="50">
        <v>613.79999999999995</v>
      </c>
      <c r="AB667" s="51">
        <v>90.054000000000002</v>
      </c>
      <c r="AC667" s="52">
        <f t="shared" si="542"/>
        <v>4.5496992013284776E-2</v>
      </c>
    </row>
    <row r="668" spans="27:29">
      <c r="AA668" s="50">
        <v>613.70000000000005</v>
      </c>
      <c r="AB668" s="51">
        <v>90.07</v>
      </c>
      <c r="AC668" s="52">
        <f t="shared" si="542"/>
        <v>4.5419837256242677E-2</v>
      </c>
    </row>
    <row r="669" spans="27:29">
      <c r="AA669" s="50">
        <v>613.6</v>
      </c>
      <c r="AB669" s="51">
        <v>90.049000000000007</v>
      </c>
      <c r="AC669" s="52">
        <f t="shared" si="542"/>
        <v>4.5521105686128355E-2</v>
      </c>
    </row>
    <row r="670" spans="27:29">
      <c r="AA670" s="50">
        <v>613.5</v>
      </c>
      <c r="AB670" s="51">
        <v>90.096999999999994</v>
      </c>
      <c r="AC670" s="52">
        <f t="shared" si="542"/>
        <v>4.5289669677283498E-2</v>
      </c>
    </row>
    <row r="671" spans="27:29">
      <c r="AA671" s="50">
        <v>613.4</v>
      </c>
      <c r="AB671" s="51">
        <v>90.106999999999999</v>
      </c>
      <c r="AC671" s="52">
        <f t="shared" si="542"/>
        <v>4.524146936182441E-2</v>
      </c>
    </row>
    <row r="672" spans="27:29">
      <c r="AA672" s="50">
        <v>613.29999999999995</v>
      </c>
      <c r="AB672" s="51">
        <v>90.087000000000003</v>
      </c>
      <c r="AC672" s="52">
        <f t="shared" si="542"/>
        <v>4.5337875342864084E-2</v>
      </c>
    </row>
    <row r="673" spans="27:29">
      <c r="AA673" s="50">
        <v>613.20000000000005</v>
      </c>
      <c r="AB673" s="51">
        <v>90.093999999999994</v>
      </c>
      <c r="AC673" s="52">
        <f t="shared" si="542"/>
        <v>4.5304130815140876E-2</v>
      </c>
    </row>
    <row r="674" spans="27:29">
      <c r="AA674" s="50">
        <v>613.1</v>
      </c>
      <c r="AB674" s="51">
        <v>90.066999999999993</v>
      </c>
      <c r="AC674" s="52">
        <f t="shared" si="542"/>
        <v>4.5434302729141965E-2</v>
      </c>
    </row>
    <row r="675" spans="27:29">
      <c r="AA675" s="50">
        <v>613</v>
      </c>
      <c r="AB675" s="51">
        <v>90.093000000000004</v>
      </c>
      <c r="AC675" s="52">
        <f t="shared" si="542"/>
        <v>4.530895130143462E-2</v>
      </c>
    </row>
    <row r="676" spans="27:29">
      <c r="AA676" s="50">
        <v>612.9</v>
      </c>
      <c r="AB676" s="51">
        <v>90.088999999999999</v>
      </c>
      <c r="AC676" s="52">
        <f t="shared" si="542"/>
        <v>4.5328233781681264E-2</v>
      </c>
    </row>
    <row r="677" spans="27:29">
      <c r="AA677" s="50">
        <v>612.79999999999995</v>
      </c>
      <c r="AB677" s="51">
        <v>90.093999999999994</v>
      </c>
      <c r="AC677" s="52">
        <f t="shared" si="542"/>
        <v>4.5304130815140876E-2</v>
      </c>
    </row>
    <row r="678" spans="27:29">
      <c r="AA678" s="50">
        <v>612.70000000000005</v>
      </c>
      <c r="AB678" s="51">
        <v>90.119</v>
      </c>
      <c r="AC678" s="52">
        <f t="shared" si="542"/>
        <v>4.5183636043762195E-2</v>
      </c>
    </row>
    <row r="679" spans="27:29">
      <c r="AA679" s="50">
        <v>612.6</v>
      </c>
      <c r="AB679" s="51">
        <v>90.132999999999996</v>
      </c>
      <c r="AC679" s="52">
        <f t="shared" si="542"/>
        <v>4.5116173571680129E-2</v>
      </c>
    </row>
    <row r="680" spans="27:29">
      <c r="AA680" s="50">
        <v>612.5</v>
      </c>
      <c r="AB680" s="51">
        <v>90.153000000000006</v>
      </c>
      <c r="AC680" s="52">
        <f t="shared" si="542"/>
        <v>4.5019816786641909E-2</v>
      </c>
    </row>
    <row r="681" spans="27:29">
      <c r="AA681" s="50">
        <v>612.4</v>
      </c>
      <c r="AB681" s="51">
        <v>90.075000000000003</v>
      </c>
      <c r="AC681" s="52">
        <f t="shared" si="542"/>
        <v>4.5395729205393878E-2</v>
      </c>
    </row>
    <row r="682" spans="27:29">
      <c r="AA682" s="50">
        <v>612.29999999999995</v>
      </c>
      <c r="AB682" s="51">
        <v>90.064999999999998</v>
      </c>
      <c r="AC682" s="52">
        <f t="shared" si="542"/>
        <v>4.5443946645423831E-2</v>
      </c>
    </row>
    <row r="683" spans="27:29">
      <c r="AA683" s="50">
        <v>612.20000000000005</v>
      </c>
      <c r="AB683" s="51">
        <v>90.100999999999999</v>
      </c>
      <c r="AC683" s="52">
        <f t="shared" si="542"/>
        <v>4.5270388909151776E-2</v>
      </c>
    </row>
    <row r="684" spans="27:29">
      <c r="AA684" s="50">
        <v>612.1</v>
      </c>
      <c r="AB684" s="51">
        <v>90.113</v>
      </c>
      <c r="AC684" s="52">
        <f t="shared" si="542"/>
        <v>4.5212551740113391E-2</v>
      </c>
    </row>
    <row r="685" spans="27:29">
      <c r="AA685" s="50">
        <v>612</v>
      </c>
      <c r="AB685" s="51">
        <v>90.13</v>
      </c>
      <c r="AC685" s="52">
        <f t="shared" si="542"/>
        <v>4.5130628933521759E-2</v>
      </c>
    </row>
    <row r="686" spans="27:29">
      <c r="AA686" s="50">
        <v>611.9</v>
      </c>
      <c r="AB686" s="51">
        <v>90.097999999999999</v>
      </c>
      <c r="AC686" s="52">
        <f t="shared" si="542"/>
        <v>4.5284849405001687E-2</v>
      </c>
    </row>
    <row r="687" spans="27:29">
      <c r="AA687" s="50">
        <v>611.79999999999995</v>
      </c>
      <c r="AB687" s="51">
        <v>90.090999999999994</v>
      </c>
      <c r="AC687" s="52">
        <f t="shared" si="542"/>
        <v>4.5318592434541255E-2</v>
      </c>
    </row>
    <row r="688" spans="27:29">
      <c r="AA688" s="50">
        <v>611.70000000000005</v>
      </c>
      <c r="AB688" s="51">
        <v>90.019000000000005</v>
      </c>
      <c r="AC688" s="52">
        <f t="shared" si="542"/>
        <v>4.5665815846486026E-2</v>
      </c>
    </row>
    <row r="689" spans="27:29">
      <c r="AA689" s="50">
        <v>611.6</v>
      </c>
      <c r="AB689" s="51">
        <v>90.058000000000007</v>
      </c>
      <c r="AC689" s="52">
        <f t="shared" si="542"/>
        <v>4.5477702038958796E-2</v>
      </c>
    </row>
    <row r="690" spans="27:29">
      <c r="AA690" s="50">
        <v>611.5</v>
      </c>
      <c r="AB690" s="51">
        <v>90.137</v>
      </c>
      <c r="AC690" s="52">
        <f t="shared" si="542"/>
        <v>4.5096900504304524E-2</v>
      </c>
    </row>
    <row r="691" spans="27:29">
      <c r="AA691" s="50">
        <v>611.4</v>
      </c>
      <c r="AB691" s="51">
        <v>90.147000000000006</v>
      </c>
      <c r="AC691" s="52">
        <f t="shared" si="542"/>
        <v>4.5048721577461426E-2</v>
      </c>
    </row>
    <row r="692" spans="27:29">
      <c r="AA692" s="50">
        <v>611.29999999999995</v>
      </c>
      <c r="AB692" s="51">
        <v>90.125</v>
      </c>
      <c r="AC692" s="52">
        <f t="shared" si="542"/>
        <v>4.5154722272514554E-2</v>
      </c>
    </row>
    <row r="693" spans="27:29">
      <c r="AA693" s="50">
        <v>611.20000000000005</v>
      </c>
      <c r="AB693" s="51">
        <v>90.141000000000005</v>
      </c>
      <c r="AC693" s="52">
        <f t="shared" si="542"/>
        <v>4.5077628292188796E-2</v>
      </c>
    </row>
    <row r="694" spans="27:29">
      <c r="AA694" s="50">
        <v>611.1</v>
      </c>
      <c r="AB694" s="51">
        <v>90.116</v>
      </c>
      <c r="AC694" s="52">
        <f t="shared" si="542"/>
        <v>4.5198093651283855E-2</v>
      </c>
    </row>
    <row r="695" spans="27:29">
      <c r="AA695" s="50">
        <v>611</v>
      </c>
      <c r="AB695" s="51">
        <v>90.155000000000001</v>
      </c>
      <c r="AC695" s="52">
        <f t="shared" si="542"/>
        <v>4.5010182283859584E-2</v>
      </c>
    </row>
    <row r="696" spans="27:29">
      <c r="AA696" s="50">
        <v>610.9</v>
      </c>
      <c r="AB696" s="51">
        <v>90.128</v>
      </c>
      <c r="AC696" s="52">
        <f t="shared" si="542"/>
        <v>4.5140266108724444E-2</v>
      </c>
    </row>
    <row r="697" spans="27:29">
      <c r="AA697" s="50">
        <v>610.79999999999995</v>
      </c>
      <c r="AB697" s="51">
        <v>90.164000000000001</v>
      </c>
      <c r="AC697" s="52">
        <f t="shared" si="542"/>
        <v>4.4966829666105754E-2</v>
      </c>
    </row>
    <row r="698" spans="27:29">
      <c r="AA698" s="50">
        <v>610.70000000000005</v>
      </c>
      <c r="AB698" s="51">
        <v>90.185000000000002</v>
      </c>
      <c r="AC698" s="52">
        <f t="shared" si="542"/>
        <v>4.486569038436658E-2</v>
      </c>
    </row>
    <row r="699" spans="27:29">
      <c r="AA699" s="50">
        <v>610.6</v>
      </c>
      <c r="AB699" s="51">
        <v>90.162999999999997</v>
      </c>
      <c r="AC699" s="52">
        <f t="shared" si="542"/>
        <v>4.4971646409931253E-2</v>
      </c>
    </row>
    <row r="700" spans="27:29">
      <c r="AA700" s="50">
        <v>610.5</v>
      </c>
      <c r="AB700" s="51">
        <v>90.132000000000005</v>
      </c>
      <c r="AC700" s="52">
        <f t="shared" si="542"/>
        <v>4.5120991972167256E-2</v>
      </c>
    </row>
    <row r="701" spans="27:29">
      <c r="AA701" s="50">
        <v>610.4</v>
      </c>
      <c r="AB701" s="51">
        <v>90.137</v>
      </c>
      <c r="AC701" s="52">
        <f t="shared" si="542"/>
        <v>4.5096900504304524E-2</v>
      </c>
    </row>
    <row r="702" spans="27:29">
      <c r="AA702" s="50">
        <v>610.29999999999995</v>
      </c>
      <c r="AB702" s="51">
        <v>90.128</v>
      </c>
      <c r="AC702" s="52">
        <f t="shared" si="542"/>
        <v>4.5140266108724444E-2</v>
      </c>
    </row>
    <row r="703" spans="27:29">
      <c r="AA703" s="50">
        <v>610.20000000000005</v>
      </c>
      <c r="AB703" s="51">
        <v>90.180999999999997</v>
      </c>
      <c r="AC703" s="52">
        <f t="shared" si="542"/>
        <v>4.4884953193631075E-2</v>
      </c>
    </row>
    <row r="704" spans="27:29">
      <c r="AA704" s="50">
        <v>610.1</v>
      </c>
      <c r="AB704" s="51">
        <v>90.171000000000006</v>
      </c>
      <c r="AC704" s="52">
        <f t="shared" si="542"/>
        <v>4.4933113955069624E-2</v>
      </c>
    </row>
    <row r="705" spans="27:29">
      <c r="AA705" s="50">
        <v>610</v>
      </c>
      <c r="AB705" s="51">
        <v>90.141000000000005</v>
      </c>
      <c r="AC705" s="52">
        <f t="shared" si="542"/>
        <v>4.5077628292188796E-2</v>
      </c>
    </row>
    <row r="706" spans="27:29">
      <c r="AA706" s="50">
        <v>609.9</v>
      </c>
      <c r="AB706" s="51">
        <v>90.137</v>
      </c>
      <c r="AC706" s="52">
        <f t="shared" si="542"/>
        <v>4.5096900504304524E-2</v>
      </c>
    </row>
    <row r="707" spans="27:29">
      <c r="AA707" s="50">
        <v>609.79999999999995</v>
      </c>
      <c r="AB707" s="51">
        <v>90.123999999999995</v>
      </c>
      <c r="AC707" s="52">
        <f t="shared" si="542"/>
        <v>4.5159541100712332E-2</v>
      </c>
    </row>
    <row r="708" spans="27:29">
      <c r="AA708" s="50">
        <v>609.70000000000005</v>
      </c>
      <c r="AB708" s="51">
        <v>90.119</v>
      </c>
      <c r="AC708" s="52">
        <f t="shared" si="542"/>
        <v>4.5183636043762195E-2</v>
      </c>
    </row>
    <row r="709" spans="27:29">
      <c r="AA709" s="50">
        <v>609.6</v>
      </c>
      <c r="AB709" s="51">
        <v>90.129000000000005</v>
      </c>
      <c r="AC709" s="52">
        <f t="shared" si="542"/>
        <v>4.513544749439146E-2</v>
      </c>
    </row>
    <row r="710" spans="27:29">
      <c r="AA710" s="50">
        <v>609.5</v>
      </c>
      <c r="AB710" s="51">
        <v>90.153999999999996</v>
      </c>
      <c r="AC710" s="52">
        <f t="shared" si="542"/>
        <v>4.5014999508533951E-2</v>
      </c>
    </row>
    <row r="711" spans="27:29">
      <c r="AA711" s="50">
        <v>609.4</v>
      </c>
      <c r="AB711" s="51">
        <v>90.177000000000007</v>
      </c>
      <c r="AC711" s="52">
        <f t="shared" si="542"/>
        <v>4.490421685732101E-2</v>
      </c>
    </row>
    <row r="712" spans="27:29">
      <c r="AA712" s="50">
        <v>609.29999999999995</v>
      </c>
      <c r="AB712" s="51">
        <v>90.171000000000006</v>
      </c>
      <c r="AC712" s="52">
        <f t="shared" si="542"/>
        <v>4.4933113955069624E-2</v>
      </c>
    </row>
    <row r="713" spans="27:29">
      <c r="AA713" s="50">
        <v>609.20000000000005</v>
      </c>
      <c r="AB713" s="51">
        <v>90.144999999999996</v>
      </c>
      <c r="AC713" s="52">
        <f t="shared" si="542"/>
        <v>4.5058356935257088E-2</v>
      </c>
    </row>
    <row r="714" spans="27:29">
      <c r="AA714" s="50">
        <v>609.1</v>
      </c>
      <c r="AB714" s="51">
        <v>90.141999999999996</v>
      </c>
      <c r="AC714" s="52">
        <f t="shared" ref="AC714:AC777" si="543">-LOG(AB714/100)</f>
        <v>4.5072810372785349E-2</v>
      </c>
    </row>
    <row r="715" spans="27:29">
      <c r="AA715" s="50">
        <v>609</v>
      </c>
      <c r="AB715" s="51">
        <v>90.106999999999999</v>
      </c>
      <c r="AC715" s="52">
        <f t="shared" si="543"/>
        <v>4.524146936182441E-2</v>
      </c>
    </row>
    <row r="716" spans="27:29">
      <c r="AA716" s="50">
        <v>608.9</v>
      </c>
      <c r="AB716" s="51">
        <v>90.164000000000001</v>
      </c>
      <c r="AC716" s="52">
        <f t="shared" si="543"/>
        <v>4.4966829666105754E-2</v>
      </c>
    </row>
    <row r="717" spans="27:29">
      <c r="AA717" s="50">
        <v>608.79999999999995</v>
      </c>
      <c r="AB717" s="51">
        <v>90.182000000000002</v>
      </c>
      <c r="AC717" s="52">
        <f t="shared" si="543"/>
        <v>4.4880137411215493E-2</v>
      </c>
    </row>
    <row r="718" spans="27:29">
      <c r="AA718" s="50">
        <v>608.70000000000005</v>
      </c>
      <c r="AB718" s="51">
        <v>90.149000000000001</v>
      </c>
      <c r="AC718" s="52">
        <f t="shared" si="543"/>
        <v>4.5039086433433406E-2</v>
      </c>
    </row>
    <row r="719" spans="27:29">
      <c r="AA719" s="50">
        <v>608.6</v>
      </c>
      <c r="AB719" s="51">
        <v>90.102000000000004</v>
      </c>
      <c r="AC719" s="52">
        <f t="shared" si="543"/>
        <v>4.5265568850862956E-2</v>
      </c>
    </row>
    <row r="720" spans="27:29">
      <c r="AA720" s="50">
        <v>608.5</v>
      </c>
      <c r="AB720" s="51">
        <v>90.119</v>
      </c>
      <c r="AC720" s="52">
        <f t="shared" si="543"/>
        <v>4.5183636043762195E-2</v>
      </c>
    </row>
    <row r="721" spans="27:29">
      <c r="AA721" s="50">
        <v>608.4</v>
      </c>
      <c r="AB721" s="51">
        <v>90.094999999999999</v>
      </c>
      <c r="AC721" s="52">
        <f t="shared" si="543"/>
        <v>4.5299310382351854E-2</v>
      </c>
    </row>
    <row r="722" spans="27:29">
      <c r="AA722" s="50">
        <v>608.29999999999995</v>
      </c>
      <c r="AB722" s="51">
        <v>90.212999999999994</v>
      </c>
      <c r="AC722" s="52">
        <f t="shared" si="543"/>
        <v>4.4730874637064072E-2</v>
      </c>
    </row>
    <row r="723" spans="27:29">
      <c r="AA723" s="50">
        <v>608.20000000000005</v>
      </c>
      <c r="AB723" s="51">
        <v>90.200999999999993</v>
      </c>
      <c r="AC723" s="52">
        <f t="shared" si="543"/>
        <v>4.478864769004804E-2</v>
      </c>
    </row>
    <row r="724" spans="27:29">
      <c r="AA724" s="50">
        <v>608.1</v>
      </c>
      <c r="AB724" s="51">
        <v>90.185000000000002</v>
      </c>
      <c r="AC724" s="52">
        <f t="shared" si="543"/>
        <v>4.486569038436658E-2</v>
      </c>
    </row>
    <row r="725" spans="27:29">
      <c r="AA725" s="50">
        <v>608</v>
      </c>
      <c r="AB725" s="51">
        <v>90.2</v>
      </c>
      <c r="AC725" s="52">
        <f t="shared" si="543"/>
        <v>4.4793462458058257E-2</v>
      </c>
    </row>
    <row r="726" spans="27:29">
      <c r="AA726" s="50">
        <v>607.9</v>
      </c>
      <c r="AB726" s="51">
        <v>90.126999999999995</v>
      </c>
      <c r="AC726" s="52">
        <f t="shared" si="543"/>
        <v>4.5145084776521849E-2</v>
      </c>
    </row>
    <row r="727" spans="27:29">
      <c r="AA727" s="50">
        <v>607.79999999999995</v>
      </c>
      <c r="AB727" s="51">
        <v>90.171999999999997</v>
      </c>
      <c r="AC727" s="52">
        <f t="shared" si="543"/>
        <v>4.4928297638584858E-2</v>
      </c>
    </row>
    <row r="728" spans="27:29">
      <c r="AA728" s="50">
        <v>607.70000000000005</v>
      </c>
      <c r="AB728" s="51">
        <v>90.128</v>
      </c>
      <c r="AC728" s="52">
        <f t="shared" si="543"/>
        <v>4.5140266108724444E-2</v>
      </c>
    </row>
    <row r="729" spans="27:29">
      <c r="AA729" s="50">
        <v>607.6</v>
      </c>
      <c r="AB729" s="51">
        <v>90.191000000000003</v>
      </c>
      <c r="AC729" s="52">
        <f t="shared" si="543"/>
        <v>4.4836797772351916E-2</v>
      </c>
    </row>
    <row r="730" spans="27:29">
      <c r="AA730" s="50">
        <v>607.5</v>
      </c>
      <c r="AB730" s="51">
        <v>90.188000000000002</v>
      </c>
      <c r="AC730" s="52">
        <f t="shared" si="543"/>
        <v>4.4851243838089382E-2</v>
      </c>
    </row>
    <row r="731" spans="27:29">
      <c r="AA731" s="50">
        <v>607.4</v>
      </c>
      <c r="AB731" s="51">
        <v>90.216999999999999</v>
      </c>
      <c r="AC731" s="52">
        <f t="shared" si="543"/>
        <v>4.4711618660475926E-2</v>
      </c>
    </row>
    <row r="732" spans="27:29">
      <c r="AA732" s="50">
        <v>607.29999999999995</v>
      </c>
      <c r="AB732" s="51">
        <v>90.117999999999995</v>
      </c>
      <c r="AC732" s="52">
        <f t="shared" si="543"/>
        <v>4.5188455192792749E-2</v>
      </c>
    </row>
    <row r="733" spans="27:29">
      <c r="AA733" s="50">
        <v>607.20000000000005</v>
      </c>
      <c r="AB733" s="51">
        <v>90.132000000000005</v>
      </c>
      <c r="AC733" s="52">
        <f t="shared" si="543"/>
        <v>4.5120991972167256E-2</v>
      </c>
    </row>
    <row r="734" spans="27:29">
      <c r="AA734" s="50">
        <v>607.1</v>
      </c>
      <c r="AB734" s="51">
        <v>90.165000000000006</v>
      </c>
      <c r="AC734" s="52">
        <f t="shared" si="543"/>
        <v>4.496201297570198E-2</v>
      </c>
    </row>
    <row r="735" spans="27:29">
      <c r="AA735" s="50">
        <v>607</v>
      </c>
      <c r="AB735" s="51">
        <v>90.201999999999998</v>
      </c>
      <c r="AC735" s="52">
        <f t="shared" si="543"/>
        <v>4.4783832975415737E-2</v>
      </c>
    </row>
    <row r="736" spans="27:29">
      <c r="AA736" s="50">
        <v>606.9</v>
      </c>
      <c r="AB736" s="51">
        <v>90.228999999999999</v>
      </c>
      <c r="AC736" s="52">
        <f t="shared" si="543"/>
        <v>4.465385585287119E-2</v>
      </c>
    </row>
    <row r="737" spans="27:29">
      <c r="AA737" s="50">
        <v>606.79999999999995</v>
      </c>
      <c r="AB737" s="51">
        <v>90.200999999999993</v>
      </c>
      <c r="AC737" s="52">
        <f t="shared" si="543"/>
        <v>4.478864769004804E-2</v>
      </c>
    </row>
    <row r="738" spans="27:29">
      <c r="AA738" s="50">
        <v>606.70000000000005</v>
      </c>
      <c r="AB738" s="51">
        <v>90.180999999999997</v>
      </c>
      <c r="AC738" s="52">
        <f t="shared" si="543"/>
        <v>4.4884953193631075E-2</v>
      </c>
    </row>
    <row r="739" spans="27:29">
      <c r="AA739" s="50">
        <v>606.6</v>
      </c>
      <c r="AB739" s="51">
        <v>90.138000000000005</v>
      </c>
      <c r="AC739" s="52">
        <f t="shared" si="543"/>
        <v>4.5092082371097922E-2</v>
      </c>
    </row>
    <row r="740" spans="27:29">
      <c r="AA740" s="50">
        <v>606.5</v>
      </c>
      <c r="AB740" s="51">
        <v>90.183000000000007</v>
      </c>
      <c r="AC740" s="52">
        <f t="shared" si="543"/>
        <v>4.4875321682200375E-2</v>
      </c>
    </row>
    <row r="741" spans="27:29">
      <c r="AA741" s="50">
        <v>606.4</v>
      </c>
      <c r="AB741" s="51">
        <v>90.168000000000006</v>
      </c>
      <c r="AC741" s="52">
        <f t="shared" si="543"/>
        <v>4.4947563225009333E-2</v>
      </c>
    </row>
    <row r="742" spans="27:29">
      <c r="AA742" s="50">
        <v>606.29999999999995</v>
      </c>
      <c r="AB742" s="51">
        <v>90.162000000000006</v>
      </c>
      <c r="AC742" s="52">
        <f t="shared" si="543"/>
        <v>4.4976463207179566E-2</v>
      </c>
    </row>
    <row r="743" spans="27:29">
      <c r="AA743" s="50">
        <v>606.20000000000005</v>
      </c>
      <c r="AB743" s="51">
        <v>90.191999999999993</v>
      </c>
      <c r="AC743" s="52">
        <f t="shared" si="543"/>
        <v>4.4831982523887197E-2</v>
      </c>
    </row>
    <row r="744" spans="27:29">
      <c r="AA744" s="50">
        <v>606.1</v>
      </c>
      <c r="AB744" s="51">
        <v>90.15</v>
      </c>
      <c r="AC744" s="52">
        <f t="shared" si="543"/>
        <v>4.5034268941579199E-2</v>
      </c>
    </row>
    <row r="745" spans="27:29">
      <c r="AA745" s="50">
        <v>606</v>
      </c>
      <c r="AB745" s="51">
        <v>90.201999999999998</v>
      </c>
      <c r="AC745" s="52">
        <f t="shared" si="543"/>
        <v>4.4783832975415737E-2</v>
      </c>
    </row>
    <row r="746" spans="27:29">
      <c r="AA746" s="50">
        <v>605.9</v>
      </c>
      <c r="AB746" s="51">
        <v>90.156999999999996</v>
      </c>
      <c r="AC746" s="52">
        <f t="shared" si="543"/>
        <v>4.5000547994806794E-2</v>
      </c>
    </row>
    <row r="747" spans="27:29">
      <c r="AA747" s="50">
        <v>605.79999999999995</v>
      </c>
      <c r="AB747" s="51">
        <v>90.173000000000002</v>
      </c>
      <c r="AC747" s="52">
        <f t="shared" si="543"/>
        <v>4.4923481375512296E-2</v>
      </c>
    </row>
    <row r="748" spans="27:29">
      <c r="AA748" s="50">
        <v>605.70000000000005</v>
      </c>
      <c r="AB748" s="51">
        <v>90.174000000000007</v>
      </c>
      <c r="AC748" s="52">
        <f t="shared" si="543"/>
        <v>4.4918665165850809E-2</v>
      </c>
    </row>
    <row r="749" spans="27:29">
      <c r="AA749" s="50">
        <v>605.6</v>
      </c>
      <c r="AB749" s="51">
        <v>90.200999999999993</v>
      </c>
      <c r="AC749" s="52">
        <f t="shared" si="543"/>
        <v>4.478864769004804E-2</v>
      </c>
    </row>
    <row r="750" spans="27:29">
      <c r="AA750" s="50">
        <v>605.5</v>
      </c>
      <c r="AB750" s="51">
        <v>90.158000000000001</v>
      </c>
      <c r="AC750" s="52">
        <f t="shared" si="543"/>
        <v>4.4995730930426012E-2</v>
      </c>
    </row>
    <row r="751" spans="27:29">
      <c r="AA751" s="50">
        <v>605.4</v>
      </c>
      <c r="AB751" s="51">
        <v>90.141999999999996</v>
      </c>
      <c r="AC751" s="52">
        <f t="shared" si="543"/>
        <v>4.5072810372785349E-2</v>
      </c>
    </row>
    <row r="752" spans="27:29">
      <c r="AA752" s="50">
        <v>605.29999999999995</v>
      </c>
      <c r="AB752" s="51">
        <v>90.183000000000007</v>
      </c>
      <c r="AC752" s="52">
        <f t="shared" si="543"/>
        <v>4.4875321682200375E-2</v>
      </c>
    </row>
    <row r="753" spans="27:29">
      <c r="AA753" s="50">
        <v>605.20000000000005</v>
      </c>
      <c r="AB753" s="51">
        <v>90.153000000000006</v>
      </c>
      <c r="AC753" s="52">
        <f t="shared" si="543"/>
        <v>4.5019816786641909E-2</v>
      </c>
    </row>
    <row r="754" spans="27:29">
      <c r="AA754" s="50">
        <v>605.1</v>
      </c>
      <c r="AB754" s="51">
        <v>90.185000000000002</v>
      </c>
      <c r="AC754" s="52">
        <f t="shared" si="543"/>
        <v>4.486569038436658E-2</v>
      </c>
    </row>
    <row r="755" spans="27:29">
      <c r="AA755" s="50">
        <v>605</v>
      </c>
      <c r="AB755" s="51">
        <v>90.159000000000006</v>
      </c>
      <c r="AC755" s="52">
        <f t="shared" si="543"/>
        <v>4.4990913919474074E-2</v>
      </c>
    </row>
    <row r="756" spans="27:29">
      <c r="AA756" s="50">
        <v>604.9</v>
      </c>
      <c r="AB756" s="51">
        <v>90.195999999999998</v>
      </c>
      <c r="AC756" s="52">
        <f t="shared" si="543"/>
        <v>4.4812722063902063E-2</v>
      </c>
    </row>
    <row r="757" spans="27:29">
      <c r="AA757" s="50">
        <v>604.79999999999995</v>
      </c>
      <c r="AB757" s="51">
        <v>90.171999999999997</v>
      </c>
      <c r="AC757" s="52">
        <f t="shared" si="543"/>
        <v>4.4928297638584858E-2</v>
      </c>
    </row>
    <row r="758" spans="27:29">
      <c r="AA758" s="50">
        <v>604.70000000000005</v>
      </c>
      <c r="AB758" s="51">
        <v>90.162000000000006</v>
      </c>
      <c r="AC758" s="52">
        <f t="shared" si="543"/>
        <v>4.4976463207179566E-2</v>
      </c>
    </row>
    <row r="759" spans="27:29">
      <c r="AA759" s="50">
        <v>604.6</v>
      </c>
      <c r="AB759" s="51">
        <v>90.162999999999997</v>
      </c>
      <c r="AC759" s="52">
        <f t="shared" si="543"/>
        <v>4.4971646409931253E-2</v>
      </c>
    </row>
    <row r="760" spans="27:29">
      <c r="AA760" s="50">
        <v>604.5</v>
      </c>
      <c r="AB760" s="51">
        <v>90.128</v>
      </c>
      <c r="AC760" s="52">
        <f t="shared" si="543"/>
        <v>4.5140266108724444E-2</v>
      </c>
    </row>
    <row r="761" spans="27:29">
      <c r="AA761" s="50">
        <v>604.4</v>
      </c>
      <c r="AB761" s="51">
        <v>90.168000000000006</v>
      </c>
      <c r="AC761" s="52">
        <f t="shared" si="543"/>
        <v>4.4947563225009333E-2</v>
      </c>
    </row>
    <row r="762" spans="27:29">
      <c r="AA762" s="50">
        <v>604.29999999999995</v>
      </c>
      <c r="AB762" s="51">
        <v>90.177000000000007</v>
      </c>
      <c r="AC762" s="52">
        <f t="shared" si="543"/>
        <v>4.490421685732101E-2</v>
      </c>
    </row>
    <row r="763" spans="27:29">
      <c r="AA763" s="50">
        <v>604.20000000000005</v>
      </c>
      <c r="AB763" s="51">
        <v>90.212000000000003</v>
      </c>
      <c r="AC763" s="52">
        <f t="shared" si="543"/>
        <v>4.4735688764617414E-2</v>
      </c>
    </row>
    <row r="764" spans="27:29">
      <c r="AA764" s="50">
        <v>604.1</v>
      </c>
      <c r="AB764" s="51">
        <v>90.177999999999997</v>
      </c>
      <c r="AC764" s="52">
        <f t="shared" si="543"/>
        <v>4.4899400861292002E-2</v>
      </c>
    </row>
    <row r="765" spans="27:29">
      <c r="AA765" s="50">
        <v>604</v>
      </c>
      <c r="AB765" s="51">
        <v>90.215999999999994</v>
      </c>
      <c r="AC765" s="52">
        <f t="shared" si="543"/>
        <v>4.4716432574581556E-2</v>
      </c>
    </row>
    <row r="766" spans="27:29">
      <c r="AA766" s="50">
        <v>603.9</v>
      </c>
      <c r="AB766" s="51">
        <v>90.218000000000004</v>
      </c>
      <c r="AC766" s="52">
        <f t="shared" si="543"/>
        <v>4.4706804799729334E-2</v>
      </c>
    </row>
    <row r="767" spans="27:29">
      <c r="AA767" s="50">
        <v>603.79999999999995</v>
      </c>
      <c r="AB767" s="51">
        <v>90.22</v>
      </c>
      <c r="AC767" s="52">
        <f t="shared" si="543"/>
        <v>4.4697177238308315E-2</v>
      </c>
    </row>
    <row r="768" spans="27:29">
      <c r="AA768" s="50">
        <v>603.70000000000005</v>
      </c>
      <c r="AB768" s="51">
        <v>90.215999999999994</v>
      </c>
      <c r="AC768" s="52">
        <f t="shared" si="543"/>
        <v>4.4716432574581556E-2</v>
      </c>
    </row>
    <row r="769" spans="27:29">
      <c r="AA769" s="50">
        <v>603.6</v>
      </c>
      <c r="AB769" s="51">
        <v>90.206000000000003</v>
      </c>
      <c r="AC769" s="52">
        <f t="shared" si="543"/>
        <v>4.476457465064184E-2</v>
      </c>
    </row>
    <row r="770" spans="27:29">
      <c r="AA770" s="50">
        <v>603.5</v>
      </c>
      <c r="AB770" s="51">
        <v>90.218999999999994</v>
      </c>
      <c r="AC770" s="52">
        <f t="shared" si="543"/>
        <v>4.470199099234054E-2</v>
      </c>
    </row>
    <row r="771" spans="27:29">
      <c r="AA771" s="50">
        <v>603.4</v>
      </c>
      <c r="AB771" s="51">
        <v>90.215000000000003</v>
      </c>
      <c r="AC771" s="52">
        <f t="shared" si="543"/>
        <v>4.4721246542047302E-2</v>
      </c>
    </row>
    <row r="772" spans="27:29">
      <c r="AA772" s="50">
        <v>603.29999999999995</v>
      </c>
      <c r="AB772" s="51">
        <v>90.239000000000004</v>
      </c>
      <c r="AC772" s="52">
        <f t="shared" si="543"/>
        <v>4.4605726047881086E-2</v>
      </c>
    </row>
    <row r="773" spans="27:29">
      <c r="AA773" s="50">
        <v>603.20000000000005</v>
      </c>
      <c r="AB773" s="51">
        <v>90.203999999999994</v>
      </c>
      <c r="AC773" s="52">
        <f t="shared" si="543"/>
        <v>4.4774203706280088E-2</v>
      </c>
    </row>
    <row r="774" spans="27:29">
      <c r="AA774" s="50">
        <v>603.1</v>
      </c>
      <c r="AB774" s="51">
        <v>90.24</v>
      </c>
      <c r="AC774" s="52">
        <f t="shared" si="543"/>
        <v>4.4600913360732936E-2</v>
      </c>
    </row>
    <row r="775" spans="27:29">
      <c r="AA775" s="50">
        <v>603</v>
      </c>
      <c r="AB775" s="51">
        <v>90.242999999999995</v>
      </c>
      <c r="AC775" s="52">
        <f t="shared" si="543"/>
        <v>4.4586475619274424E-2</v>
      </c>
    </row>
    <row r="776" spans="27:29">
      <c r="AA776" s="50">
        <v>602.9</v>
      </c>
      <c r="AB776" s="51">
        <v>90.316999999999993</v>
      </c>
      <c r="AC776" s="52">
        <f t="shared" si="543"/>
        <v>4.4230496515816432E-2</v>
      </c>
    </row>
    <row r="777" spans="27:29">
      <c r="AA777" s="50">
        <v>602.79999999999995</v>
      </c>
      <c r="AB777" s="51">
        <v>90.268000000000001</v>
      </c>
      <c r="AC777" s="52">
        <f t="shared" si="543"/>
        <v>4.4466179768971631E-2</v>
      </c>
    </row>
    <row r="778" spans="27:29">
      <c r="AA778" s="50">
        <v>602.70000000000005</v>
      </c>
      <c r="AB778" s="51">
        <v>90.192999999999998</v>
      </c>
      <c r="AC778" s="52">
        <f t="shared" ref="AC778:AC841" si="544">-LOG(AB778/100)</f>
        <v>4.4827167328810993E-2</v>
      </c>
    </row>
    <row r="779" spans="27:29">
      <c r="AA779" s="50">
        <v>602.6</v>
      </c>
      <c r="AB779" s="51">
        <v>90.22</v>
      </c>
      <c r="AC779" s="52">
        <f t="shared" si="544"/>
        <v>4.4697177238308315E-2</v>
      </c>
    </row>
    <row r="780" spans="27:29">
      <c r="AA780" s="50">
        <v>602.5</v>
      </c>
      <c r="AB780" s="51">
        <v>90.185000000000002</v>
      </c>
      <c r="AC780" s="52">
        <f t="shared" si="544"/>
        <v>4.486569038436658E-2</v>
      </c>
    </row>
    <row r="781" spans="27:29">
      <c r="AA781" s="50">
        <v>602.4</v>
      </c>
      <c r="AB781" s="51">
        <v>90.191000000000003</v>
      </c>
      <c r="AC781" s="52">
        <f t="shared" si="544"/>
        <v>4.4836797772351916E-2</v>
      </c>
    </row>
    <row r="782" spans="27:29">
      <c r="AA782" s="50">
        <v>602.29999999999995</v>
      </c>
      <c r="AB782" s="51">
        <v>90.171000000000006</v>
      </c>
      <c r="AC782" s="52">
        <f t="shared" si="544"/>
        <v>4.4933113955069624E-2</v>
      </c>
    </row>
    <row r="783" spans="27:29">
      <c r="AA783" s="50">
        <v>602.20000000000005</v>
      </c>
      <c r="AB783" s="51">
        <v>90.209000000000003</v>
      </c>
      <c r="AC783" s="52">
        <f t="shared" si="544"/>
        <v>4.4750131467471609E-2</v>
      </c>
    </row>
    <row r="784" spans="27:29">
      <c r="AA784" s="50">
        <v>602.1</v>
      </c>
      <c r="AB784" s="51">
        <v>90.185000000000002</v>
      </c>
      <c r="AC784" s="52">
        <f t="shared" si="544"/>
        <v>4.486569038436658E-2</v>
      </c>
    </row>
    <row r="785" spans="27:29">
      <c r="AA785" s="50">
        <v>602</v>
      </c>
      <c r="AB785" s="51">
        <v>90.168000000000006</v>
      </c>
      <c r="AC785" s="52">
        <f t="shared" si="544"/>
        <v>4.4947563225009333E-2</v>
      </c>
    </row>
    <row r="786" spans="27:29">
      <c r="AA786" s="50">
        <v>601.9</v>
      </c>
      <c r="AB786" s="51">
        <v>90.239000000000004</v>
      </c>
      <c r="AC786" s="52">
        <f t="shared" si="544"/>
        <v>4.4605726047881086E-2</v>
      </c>
    </row>
    <row r="787" spans="27:29">
      <c r="AA787" s="50">
        <v>601.79999999999995</v>
      </c>
      <c r="AB787" s="51">
        <v>90.218999999999994</v>
      </c>
      <c r="AC787" s="52">
        <f t="shared" si="544"/>
        <v>4.470199099234054E-2</v>
      </c>
    </row>
    <row r="788" spans="27:29">
      <c r="AA788" s="50">
        <v>601.70000000000005</v>
      </c>
      <c r="AB788" s="51">
        <v>90.221000000000004</v>
      </c>
      <c r="AC788" s="52">
        <f t="shared" si="544"/>
        <v>4.4692363537631521E-2</v>
      </c>
    </row>
    <row r="789" spans="27:29">
      <c r="AA789" s="50">
        <v>601.6</v>
      </c>
      <c r="AB789" s="51">
        <v>90.155000000000001</v>
      </c>
      <c r="AC789" s="52">
        <f t="shared" si="544"/>
        <v>4.5010182283859584E-2</v>
      </c>
    </row>
    <row r="790" spans="27:29">
      <c r="AA790" s="50">
        <v>601.5</v>
      </c>
      <c r="AB790" s="51">
        <v>90.165999999999997</v>
      </c>
      <c r="AC790" s="52">
        <f t="shared" si="544"/>
        <v>4.4957196338718815E-2</v>
      </c>
    </row>
    <row r="791" spans="27:29">
      <c r="AA791" s="50">
        <v>601.4</v>
      </c>
      <c r="AB791" s="51">
        <v>90.171000000000006</v>
      </c>
      <c r="AC791" s="52">
        <f t="shared" si="544"/>
        <v>4.4933113955069624E-2</v>
      </c>
    </row>
    <row r="792" spans="27:29">
      <c r="AA792" s="50">
        <v>601.29999999999995</v>
      </c>
      <c r="AB792" s="51">
        <v>90.156999999999996</v>
      </c>
      <c r="AC792" s="52">
        <f t="shared" si="544"/>
        <v>4.5000547994806794E-2</v>
      </c>
    </row>
    <row r="793" spans="27:29">
      <c r="AA793" s="50">
        <v>601.20000000000005</v>
      </c>
      <c r="AB793" s="51">
        <v>90.097999999999999</v>
      </c>
      <c r="AC793" s="52">
        <f t="shared" si="544"/>
        <v>4.5284849405001687E-2</v>
      </c>
    </row>
    <row r="794" spans="27:29">
      <c r="AA794" s="50">
        <v>601.1</v>
      </c>
      <c r="AB794" s="51">
        <v>90.179000000000002</v>
      </c>
      <c r="AC794" s="52">
        <f t="shared" si="544"/>
        <v>4.4894584918668143E-2</v>
      </c>
    </row>
    <row r="795" spans="27:29">
      <c r="AA795" s="50">
        <v>601</v>
      </c>
      <c r="AB795" s="51">
        <v>90.167000000000002</v>
      </c>
      <c r="AC795" s="52">
        <f t="shared" si="544"/>
        <v>4.4952379755155016E-2</v>
      </c>
    </row>
    <row r="796" spans="27:29">
      <c r="AA796" s="50">
        <v>600.9</v>
      </c>
      <c r="AB796" s="51">
        <v>90.126999999999995</v>
      </c>
      <c r="AC796" s="52">
        <f t="shared" si="544"/>
        <v>4.5145084776521849E-2</v>
      </c>
    </row>
    <row r="797" spans="27:29">
      <c r="AA797" s="50">
        <v>600.79999999999995</v>
      </c>
      <c r="AB797" s="51">
        <v>90.18</v>
      </c>
      <c r="AC797" s="52">
        <f t="shared" si="544"/>
        <v>4.488976902944819E-2</v>
      </c>
    </row>
    <row r="798" spans="27:29">
      <c r="AA798" s="50">
        <v>600.70000000000005</v>
      </c>
      <c r="AB798" s="51">
        <v>90.191000000000003</v>
      </c>
      <c r="AC798" s="52">
        <f t="shared" si="544"/>
        <v>4.4836797772351916E-2</v>
      </c>
    </row>
    <row r="799" spans="27:29">
      <c r="AA799" s="50">
        <v>600.6</v>
      </c>
      <c r="AB799" s="51">
        <v>90.274000000000001</v>
      </c>
      <c r="AC799" s="52">
        <f t="shared" si="544"/>
        <v>4.4437313722374423E-2</v>
      </c>
    </row>
    <row r="800" spans="27:29">
      <c r="AA800" s="50">
        <v>600.5</v>
      </c>
      <c r="AB800" s="51">
        <v>90.228999999999999</v>
      </c>
      <c r="AC800" s="52">
        <f t="shared" si="544"/>
        <v>4.465385585287119E-2</v>
      </c>
    </row>
    <row r="801" spans="27:29">
      <c r="AA801" s="50">
        <v>600.4</v>
      </c>
      <c r="AB801" s="51">
        <v>90.156000000000006</v>
      </c>
      <c r="AC801" s="52">
        <f t="shared" si="544"/>
        <v>4.5005365112617553E-2</v>
      </c>
    </row>
    <row r="802" spans="27:29">
      <c r="AA802" s="50">
        <v>600.29999999999995</v>
      </c>
      <c r="AB802" s="51">
        <v>90.147999999999996</v>
      </c>
      <c r="AC802" s="52">
        <f t="shared" si="544"/>
        <v>4.5043903978727116E-2</v>
      </c>
    </row>
    <row r="803" spans="27:29">
      <c r="AA803" s="50">
        <v>600.20000000000005</v>
      </c>
      <c r="AB803" s="51">
        <v>90.165999999999997</v>
      </c>
      <c r="AC803" s="52">
        <f t="shared" si="544"/>
        <v>4.4957196338718815E-2</v>
      </c>
    </row>
    <row r="804" spans="27:29">
      <c r="AA804" s="50">
        <v>600.1</v>
      </c>
      <c r="AB804" s="51">
        <v>90.177999999999997</v>
      </c>
      <c r="AC804" s="52">
        <f t="shared" si="544"/>
        <v>4.4899400861292002E-2</v>
      </c>
    </row>
    <row r="805" spans="27:29">
      <c r="AA805" s="50">
        <v>600</v>
      </c>
      <c r="AB805" s="51">
        <v>90.177000000000007</v>
      </c>
      <c r="AC805" s="52">
        <f t="shared" si="544"/>
        <v>4.490421685732101E-2</v>
      </c>
    </row>
    <row r="806" spans="27:29">
      <c r="AA806" s="50">
        <v>599.9</v>
      </c>
      <c r="AB806" s="51">
        <v>90.149000000000001</v>
      </c>
      <c r="AC806" s="52">
        <f t="shared" si="544"/>
        <v>4.5039086433433406E-2</v>
      </c>
    </row>
    <row r="807" spans="27:29">
      <c r="AA807" s="50">
        <v>599.79999999999995</v>
      </c>
      <c r="AB807" s="51">
        <v>90.123999999999995</v>
      </c>
      <c r="AC807" s="52">
        <f t="shared" si="544"/>
        <v>4.5159541100712332E-2</v>
      </c>
    </row>
    <row r="808" spans="27:29">
      <c r="AA808" s="50">
        <v>599.70000000000005</v>
      </c>
      <c r="AB808" s="51">
        <v>90.144000000000005</v>
      </c>
      <c r="AC808" s="52">
        <f t="shared" si="544"/>
        <v>4.5063174694320654E-2</v>
      </c>
    </row>
    <row r="809" spans="27:29">
      <c r="AA809" s="50">
        <v>599.6</v>
      </c>
      <c r="AB809" s="51">
        <v>90.137</v>
      </c>
      <c r="AC809" s="52">
        <f t="shared" si="544"/>
        <v>4.5096900504304524E-2</v>
      </c>
    </row>
    <row r="810" spans="27:29">
      <c r="AA810" s="50">
        <v>599.5</v>
      </c>
      <c r="AB810" s="51">
        <v>90.155000000000001</v>
      </c>
      <c r="AC810" s="52">
        <f t="shared" si="544"/>
        <v>4.5010182283859584E-2</v>
      </c>
    </row>
    <row r="811" spans="27:29">
      <c r="AA811" s="50">
        <v>599.4</v>
      </c>
      <c r="AB811" s="51">
        <v>90.165999999999997</v>
      </c>
      <c r="AC811" s="52">
        <f t="shared" si="544"/>
        <v>4.4957196338718815E-2</v>
      </c>
    </row>
    <row r="812" spans="27:29">
      <c r="AA812" s="50">
        <v>599.29999999999995</v>
      </c>
      <c r="AB812" s="51">
        <v>90.138999999999996</v>
      </c>
      <c r="AC812" s="52">
        <f t="shared" si="544"/>
        <v>4.5087264291343979E-2</v>
      </c>
    </row>
    <row r="813" spans="27:29">
      <c r="AA813" s="50">
        <v>599.20000000000005</v>
      </c>
      <c r="AB813" s="51">
        <v>90.215000000000003</v>
      </c>
      <c r="AC813" s="52">
        <f t="shared" si="544"/>
        <v>4.4721246542047302E-2</v>
      </c>
    </row>
    <row r="814" spans="27:29">
      <c r="AA814" s="50">
        <v>599.1</v>
      </c>
      <c r="AB814" s="51">
        <v>90.162999999999997</v>
      </c>
      <c r="AC814" s="52">
        <f t="shared" si="544"/>
        <v>4.4971646409931253E-2</v>
      </c>
    </row>
    <row r="815" spans="27:29">
      <c r="AA815" s="50">
        <v>599</v>
      </c>
      <c r="AB815" s="51">
        <v>90.186999999999998</v>
      </c>
      <c r="AC815" s="52">
        <f t="shared" si="544"/>
        <v>4.4856059300120266E-2</v>
      </c>
    </row>
    <row r="816" spans="27:29">
      <c r="AA816" s="50">
        <v>598.9</v>
      </c>
      <c r="AB816" s="51">
        <v>90.177000000000007</v>
      </c>
      <c r="AC816" s="52">
        <f t="shared" si="544"/>
        <v>4.490421685732101E-2</v>
      </c>
    </row>
    <row r="817" spans="27:29">
      <c r="AA817" s="50">
        <v>598.79999999999995</v>
      </c>
      <c r="AB817" s="51">
        <v>90.213999999999999</v>
      </c>
      <c r="AC817" s="52">
        <f t="shared" si="544"/>
        <v>4.4726060562874446E-2</v>
      </c>
    </row>
    <row r="818" spans="27:29">
      <c r="AA818" s="50">
        <v>598.70000000000005</v>
      </c>
      <c r="AB818" s="51">
        <v>90.188999999999993</v>
      </c>
      <c r="AC818" s="52">
        <f t="shared" si="544"/>
        <v>4.484642842945185E-2</v>
      </c>
    </row>
    <row r="819" spans="27:29">
      <c r="AA819" s="50">
        <v>598.6</v>
      </c>
      <c r="AB819" s="51">
        <v>90.212999999999994</v>
      </c>
      <c r="AC819" s="52">
        <f t="shared" si="544"/>
        <v>4.4730874637064072E-2</v>
      </c>
    </row>
    <row r="820" spans="27:29">
      <c r="AA820" s="50">
        <v>598.5</v>
      </c>
      <c r="AB820" s="51">
        <v>90.146000000000001</v>
      </c>
      <c r="AC820" s="52">
        <f t="shared" si="544"/>
        <v>4.5053539229637722E-2</v>
      </c>
    </row>
    <row r="821" spans="27:29">
      <c r="AA821" s="50">
        <v>598.4</v>
      </c>
      <c r="AB821" s="51">
        <v>90.144999999999996</v>
      </c>
      <c r="AC821" s="52">
        <f t="shared" si="544"/>
        <v>4.5058356935257088E-2</v>
      </c>
    </row>
    <row r="822" spans="27:29">
      <c r="AA822" s="50">
        <v>598.29999999999995</v>
      </c>
      <c r="AB822" s="51">
        <v>90.16</v>
      </c>
      <c r="AC822" s="52">
        <f t="shared" si="544"/>
        <v>4.4986096961949898E-2</v>
      </c>
    </row>
    <row r="823" spans="27:29">
      <c r="AA823" s="50">
        <v>598.20000000000005</v>
      </c>
      <c r="AB823" s="51">
        <v>90.126999999999995</v>
      </c>
      <c r="AC823" s="52">
        <f t="shared" si="544"/>
        <v>4.5145084776521849E-2</v>
      </c>
    </row>
    <row r="824" spans="27:29">
      <c r="AA824" s="50">
        <v>598.1</v>
      </c>
      <c r="AB824" s="51">
        <v>90.147000000000006</v>
      </c>
      <c r="AC824" s="52">
        <f t="shared" si="544"/>
        <v>4.5048721577461426E-2</v>
      </c>
    </row>
    <row r="825" spans="27:29">
      <c r="AA825" s="50">
        <v>598</v>
      </c>
      <c r="AB825" s="51">
        <v>90.182000000000002</v>
      </c>
      <c r="AC825" s="52">
        <f t="shared" si="544"/>
        <v>4.4880137411215493E-2</v>
      </c>
    </row>
    <row r="826" spans="27:29">
      <c r="AA826" s="50">
        <v>597.9</v>
      </c>
      <c r="AB826" s="51">
        <v>90.200999999999993</v>
      </c>
      <c r="AC826" s="52">
        <f t="shared" si="544"/>
        <v>4.478864769004804E-2</v>
      </c>
    </row>
    <row r="827" spans="27:29">
      <c r="AA827" s="50">
        <v>597.79999999999995</v>
      </c>
      <c r="AB827" s="51">
        <v>90.216999999999999</v>
      </c>
      <c r="AC827" s="52">
        <f t="shared" si="544"/>
        <v>4.4711618660475926E-2</v>
      </c>
    </row>
    <row r="828" spans="27:29">
      <c r="AA828" s="50">
        <v>597.70000000000005</v>
      </c>
      <c r="AB828" s="51">
        <v>90.16</v>
      </c>
      <c r="AC828" s="52">
        <f t="shared" si="544"/>
        <v>4.4986096961949898E-2</v>
      </c>
    </row>
    <row r="829" spans="27:29">
      <c r="AA829" s="50">
        <v>597.6</v>
      </c>
      <c r="AB829" s="51">
        <v>90.156000000000006</v>
      </c>
      <c r="AC829" s="52">
        <f t="shared" si="544"/>
        <v>4.5005365112617553E-2</v>
      </c>
    </row>
    <row r="830" spans="27:29">
      <c r="AA830" s="50">
        <v>597.5</v>
      </c>
      <c r="AB830" s="51">
        <v>90.162999999999997</v>
      </c>
      <c r="AC830" s="52">
        <f t="shared" si="544"/>
        <v>4.4971646409931253E-2</v>
      </c>
    </row>
    <row r="831" spans="27:29">
      <c r="AA831" s="50">
        <v>597.4</v>
      </c>
      <c r="AB831" s="51">
        <v>90.198999999999998</v>
      </c>
      <c r="AC831" s="52">
        <f t="shared" si="544"/>
        <v>4.4798277279447629E-2</v>
      </c>
    </row>
    <row r="832" spans="27:29">
      <c r="AA832" s="50">
        <v>597.29999999999995</v>
      </c>
      <c r="AB832" s="51">
        <v>90.168000000000006</v>
      </c>
      <c r="AC832" s="52">
        <f t="shared" si="544"/>
        <v>4.4947563225009333E-2</v>
      </c>
    </row>
    <row r="833" spans="27:29">
      <c r="AA833" s="50">
        <v>597.20000000000005</v>
      </c>
      <c r="AB833" s="51">
        <v>90.185000000000002</v>
      </c>
      <c r="AC833" s="52">
        <f t="shared" si="544"/>
        <v>4.486569038436658E-2</v>
      </c>
    </row>
    <row r="834" spans="27:29">
      <c r="AA834" s="50">
        <v>597.1</v>
      </c>
      <c r="AB834" s="51">
        <v>90.17</v>
      </c>
      <c r="AC834" s="52">
        <f t="shared" si="544"/>
        <v>4.4937930324967824E-2</v>
      </c>
    </row>
    <row r="835" spans="27:29">
      <c r="AA835" s="50">
        <v>597</v>
      </c>
      <c r="AB835" s="51">
        <v>90.162999999999997</v>
      </c>
      <c r="AC835" s="52">
        <f t="shared" si="544"/>
        <v>4.4971646409931253E-2</v>
      </c>
    </row>
    <row r="836" spans="27:29">
      <c r="AA836" s="50">
        <v>596.9</v>
      </c>
      <c r="AB836" s="51">
        <v>90.129000000000005</v>
      </c>
      <c r="AC836" s="52">
        <f t="shared" si="544"/>
        <v>4.513544749439146E-2</v>
      </c>
    </row>
    <row r="837" spans="27:29">
      <c r="AA837" s="50">
        <v>596.79999999999995</v>
      </c>
      <c r="AB837" s="51">
        <v>90.162000000000006</v>
      </c>
      <c r="AC837" s="52">
        <f t="shared" si="544"/>
        <v>4.4976463207179566E-2</v>
      </c>
    </row>
    <row r="838" spans="27:29">
      <c r="AA838" s="50">
        <v>596.70000000000005</v>
      </c>
      <c r="AB838" s="51">
        <v>90.188000000000002</v>
      </c>
      <c r="AC838" s="52">
        <f t="shared" si="544"/>
        <v>4.4851243838089382E-2</v>
      </c>
    </row>
    <row r="839" spans="27:29">
      <c r="AA839" s="50">
        <v>596.6</v>
      </c>
      <c r="AB839" s="51">
        <v>90.241</v>
      </c>
      <c r="AC839" s="52">
        <f t="shared" si="544"/>
        <v>4.459610072691652E-2</v>
      </c>
    </row>
    <row r="840" spans="27:29">
      <c r="AA840" s="50">
        <v>596.5</v>
      </c>
      <c r="AB840" s="51">
        <v>90.215000000000003</v>
      </c>
      <c r="AC840" s="52">
        <f t="shared" si="544"/>
        <v>4.4721246542047302E-2</v>
      </c>
    </row>
    <row r="841" spans="27:29">
      <c r="AA841" s="50">
        <v>596.4</v>
      </c>
      <c r="AB841" s="51">
        <v>90.188999999999993</v>
      </c>
      <c r="AC841" s="52">
        <f t="shared" si="544"/>
        <v>4.484642842945185E-2</v>
      </c>
    </row>
    <row r="842" spans="27:29">
      <c r="AA842" s="50">
        <v>596.29999999999995</v>
      </c>
      <c r="AB842" s="51">
        <v>90.119</v>
      </c>
      <c r="AC842" s="52">
        <f t="shared" ref="AC842:AC905" si="545">-LOG(AB842/100)</f>
        <v>4.5183636043762195E-2</v>
      </c>
    </row>
    <row r="843" spans="27:29">
      <c r="AA843" s="50">
        <v>596.20000000000005</v>
      </c>
      <c r="AB843" s="51">
        <v>90.159000000000006</v>
      </c>
      <c r="AC843" s="52">
        <f t="shared" si="545"/>
        <v>4.4990913919474074E-2</v>
      </c>
    </row>
    <row r="844" spans="27:29">
      <c r="AA844" s="50">
        <v>596.1</v>
      </c>
      <c r="AB844" s="51">
        <v>90.143000000000001</v>
      </c>
      <c r="AC844" s="52">
        <f t="shared" si="545"/>
        <v>4.5067992506829718E-2</v>
      </c>
    </row>
    <row r="845" spans="27:29">
      <c r="AA845" s="50">
        <v>596</v>
      </c>
      <c r="AB845" s="51">
        <v>90.144000000000005</v>
      </c>
      <c r="AC845" s="52">
        <f t="shared" si="545"/>
        <v>4.5063174694320654E-2</v>
      </c>
    </row>
    <row r="846" spans="27:29">
      <c r="AA846" s="50">
        <v>595.9</v>
      </c>
      <c r="AB846" s="51">
        <v>90.16</v>
      </c>
      <c r="AC846" s="52">
        <f t="shared" si="545"/>
        <v>4.4986096961949898E-2</v>
      </c>
    </row>
    <row r="847" spans="27:29">
      <c r="AA847" s="50">
        <v>595.79999999999995</v>
      </c>
      <c r="AB847" s="51">
        <v>90.17</v>
      </c>
      <c r="AC847" s="52">
        <f t="shared" si="545"/>
        <v>4.4937930324967824E-2</v>
      </c>
    </row>
    <row r="848" spans="27:29">
      <c r="AA848" s="50">
        <v>595.70000000000005</v>
      </c>
      <c r="AB848" s="51">
        <v>90.103999999999999</v>
      </c>
      <c r="AC848" s="52">
        <f t="shared" si="545"/>
        <v>4.5255928894770057E-2</v>
      </c>
    </row>
    <row r="849" spans="27:29">
      <c r="AA849" s="50">
        <v>595.6</v>
      </c>
      <c r="AB849" s="51">
        <v>90.147999999999996</v>
      </c>
      <c r="AC849" s="52">
        <f t="shared" si="545"/>
        <v>4.5043903978727116E-2</v>
      </c>
    </row>
    <row r="850" spans="27:29">
      <c r="AA850" s="50">
        <v>595.5</v>
      </c>
      <c r="AB850" s="51">
        <v>90.177999999999997</v>
      </c>
      <c r="AC850" s="52">
        <f t="shared" si="545"/>
        <v>4.4899400861292002E-2</v>
      </c>
    </row>
    <row r="851" spans="27:29">
      <c r="AA851" s="50">
        <v>595.4</v>
      </c>
      <c r="AB851" s="51">
        <v>90.218000000000004</v>
      </c>
      <c r="AC851" s="52">
        <f t="shared" si="545"/>
        <v>4.4706804799729334E-2</v>
      </c>
    </row>
    <row r="852" spans="27:29">
      <c r="AA852" s="50">
        <v>595.29999999999995</v>
      </c>
      <c r="AB852" s="51">
        <v>90.203999999999994</v>
      </c>
      <c r="AC852" s="52">
        <f t="shared" si="545"/>
        <v>4.4774203706280088E-2</v>
      </c>
    </row>
    <row r="853" spans="27:29">
      <c r="AA853" s="50">
        <v>595.20000000000005</v>
      </c>
      <c r="AB853" s="51">
        <v>90.233000000000004</v>
      </c>
      <c r="AC853" s="52">
        <f t="shared" si="545"/>
        <v>4.4634603290803841E-2</v>
      </c>
    </row>
    <row r="854" spans="27:29">
      <c r="AA854" s="50">
        <v>595.1</v>
      </c>
      <c r="AB854" s="51">
        <v>90.195999999999998</v>
      </c>
      <c r="AC854" s="52">
        <f t="shared" si="545"/>
        <v>4.4812722063902063E-2</v>
      </c>
    </row>
    <row r="855" spans="27:29">
      <c r="AA855" s="50">
        <v>595</v>
      </c>
      <c r="AB855" s="51">
        <v>90.179000000000002</v>
      </c>
      <c r="AC855" s="52">
        <f t="shared" si="545"/>
        <v>4.4894584918668143E-2</v>
      </c>
    </row>
    <row r="856" spans="27:29">
      <c r="AA856" s="50">
        <v>594.9</v>
      </c>
      <c r="AB856" s="51">
        <v>90.19</v>
      </c>
      <c r="AC856" s="52">
        <f t="shared" si="545"/>
        <v>4.4841613074206442E-2</v>
      </c>
    </row>
    <row r="857" spans="27:29">
      <c r="AA857" s="50">
        <v>594.79999999999995</v>
      </c>
      <c r="AB857" s="51">
        <v>90.152000000000001</v>
      </c>
      <c r="AC857" s="52">
        <f t="shared" si="545"/>
        <v>4.5024634118184692E-2</v>
      </c>
    </row>
    <row r="858" spans="27:29">
      <c r="AA858" s="50">
        <v>594.70000000000005</v>
      </c>
      <c r="AB858" s="51">
        <v>90.156000000000006</v>
      </c>
      <c r="AC858" s="52">
        <f t="shared" si="545"/>
        <v>4.5005365112617553E-2</v>
      </c>
    </row>
    <row r="859" spans="27:29">
      <c r="AA859" s="50">
        <v>594.6</v>
      </c>
      <c r="AB859" s="51">
        <v>90.206999999999994</v>
      </c>
      <c r="AC859" s="52">
        <f t="shared" si="545"/>
        <v>4.4759760202881416E-2</v>
      </c>
    </row>
    <row r="860" spans="27:29">
      <c r="AA860" s="50">
        <v>594.5</v>
      </c>
      <c r="AB860" s="51">
        <v>90.192999999999998</v>
      </c>
      <c r="AC860" s="52">
        <f t="shared" si="545"/>
        <v>4.4827167328810993E-2</v>
      </c>
    </row>
    <row r="861" spans="27:29">
      <c r="AA861" s="50">
        <v>594.4</v>
      </c>
      <c r="AB861" s="51">
        <v>90.22</v>
      </c>
      <c r="AC861" s="52">
        <f t="shared" si="545"/>
        <v>4.4697177238308315E-2</v>
      </c>
    </row>
    <row r="862" spans="27:29">
      <c r="AA862" s="50">
        <v>594.29999999999995</v>
      </c>
      <c r="AB862" s="51">
        <v>90.183000000000007</v>
      </c>
      <c r="AC862" s="52">
        <f t="shared" si="545"/>
        <v>4.4875321682200375E-2</v>
      </c>
    </row>
    <row r="863" spans="27:29">
      <c r="AA863" s="50">
        <v>594.20000000000005</v>
      </c>
      <c r="AB863" s="51">
        <v>90.201999999999998</v>
      </c>
      <c r="AC863" s="52">
        <f t="shared" si="545"/>
        <v>4.4783832975415737E-2</v>
      </c>
    </row>
    <row r="864" spans="27:29">
      <c r="AA864" s="50">
        <v>594.1</v>
      </c>
      <c r="AB864" s="51">
        <v>90.200999999999993</v>
      </c>
      <c r="AC864" s="52">
        <f t="shared" si="545"/>
        <v>4.478864769004804E-2</v>
      </c>
    </row>
    <row r="865" spans="27:29">
      <c r="AA865" s="50">
        <v>594</v>
      </c>
      <c r="AB865" s="51">
        <v>90.23</v>
      </c>
      <c r="AC865" s="52">
        <f t="shared" si="545"/>
        <v>4.4649042632340152E-2</v>
      </c>
    </row>
    <row r="866" spans="27:29">
      <c r="AA866" s="50">
        <v>593.9</v>
      </c>
      <c r="AB866" s="51">
        <v>90.200999999999993</v>
      </c>
      <c r="AC866" s="52">
        <f t="shared" si="545"/>
        <v>4.478864769004804E-2</v>
      </c>
    </row>
    <row r="867" spans="27:29">
      <c r="AA867" s="50">
        <v>593.79999999999995</v>
      </c>
      <c r="AB867" s="51">
        <v>90.198999999999998</v>
      </c>
      <c r="AC867" s="52">
        <f t="shared" si="545"/>
        <v>4.4798277279447629E-2</v>
      </c>
    </row>
    <row r="868" spans="27:29">
      <c r="AA868" s="50">
        <v>593.70000000000005</v>
      </c>
      <c r="AB868" s="51">
        <v>90.174999999999997</v>
      </c>
      <c r="AC868" s="52">
        <f t="shared" si="545"/>
        <v>4.4913849009599306E-2</v>
      </c>
    </row>
    <row r="869" spans="27:29">
      <c r="AA869" s="50">
        <v>593.6</v>
      </c>
      <c r="AB869" s="51">
        <v>90.138999999999996</v>
      </c>
      <c r="AC869" s="52">
        <f t="shared" si="545"/>
        <v>4.5087264291343979E-2</v>
      </c>
    </row>
    <row r="870" spans="27:29">
      <c r="AA870" s="50">
        <v>593.5</v>
      </c>
      <c r="AB870" s="51">
        <v>90.204999999999998</v>
      </c>
      <c r="AC870" s="52">
        <f t="shared" si="545"/>
        <v>4.4769389151774377E-2</v>
      </c>
    </row>
    <row r="871" spans="27:29">
      <c r="AA871" s="50">
        <v>593.4</v>
      </c>
      <c r="AB871" s="51">
        <v>90.256</v>
      </c>
      <c r="AC871" s="52">
        <f t="shared" si="545"/>
        <v>4.4523917618681533E-2</v>
      </c>
    </row>
    <row r="872" spans="27:29">
      <c r="AA872" s="50">
        <v>593.29999999999995</v>
      </c>
      <c r="AB872" s="51">
        <v>90.271000000000001</v>
      </c>
      <c r="AC872" s="52">
        <f t="shared" si="545"/>
        <v>4.445174650584479E-2</v>
      </c>
    </row>
    <row r="873" spans="27:29">
      <c r="AA873" s="50">
        <v>593.20000000000005</v>
      </c>
      <c r="AB873" s="51">
        <v>90.227000000000004</v>
      </c>
      <c r="AC873" s="52">
        <f t="shared" si="545"/>
        <v>4.4663482453968888E-2</v>
      </c>
    </row>
    <row r="874" spans="27:29">
      <c r="AA874" s="50">
        <v>593.1</v>
      </c>
      <c r="AB874" s="51">
        <v>90.233000000000004</v>
      </c>
      <c r="AC874" s="52">
        <f t="shared" si="545"/>
        <v>4.4634603290803841E-2</v>
      </c>
    </row>
    <row r="875" spans="27:29">
      <c r="AA875" s="50">
        <v>593</v>
      </c>
      <c r="AB875" s="51">
        <v>90.224000000000004</v>
      </c>
      <c r="AC875" s="52">
        <f t="shared" si="545"/>
        <v>4.4677922755722035E-2</v>
      </c>
    </row>
    <row r="876" spans="27:29">
      <c r="AA876" s="50">
        <v>592.9</v>
      </c>
      <c r="AB876" s="51">
        <v>90.215000000000003</v>
      </c>
      <c r="AC876" s="52">
        <f t="shared" si="545"/>
        <v>4.4721246542047302E-2</v>
      </c>
    </row>
    <row r="877" spans="27:29">
      <c r="AA877" s="50">
        <v>592.79999999999995</v>
      </c>
      <c r="AB877" s="51">
        <v>90.247</v>
      </c>
      <c r="AC877" s="52">
        <f t="shared" si="545"/>
        <v>4.4567226043919564E-2</v>
      </c>
    </row>
    <row r="878" spans="27:29">
      <c r="AA878" s="50">
        <v>592.70000000000005</v>
      </c>
      <c r="AB878" s="51">
        <v>90.203999999999994</v>
      </c>
      <c r="AC878" s="52">
        <f t="shared" si="545"/>
        <v>4.4774203706280088E-2</v>
      </c>
    </row>
    <row r="879" spans="27:29">
      <c r="AA879" s="50">
        <v>592.6</v>
      </c>
      <c r="AB879" s="51">
        <v>90.248999999999995</v>
      </c>
      <c r="AC879" s="52">
        <f t="shared" si="545"/>
        <v>4.4557601576188002E-2</v>
      </c>
    </row>
    <row r="880" spans="27:29">
      <c r="AA880" s="50">
        <v>592.5</v>
      </c>
      <c r="AB880" s="51">
        <v>90.180999999999997</v>
      </c>
      <c r="AC880" s="52">
        <f t="shared" si="545"/>
        <v>4.4884953193631075E-2</v>
      </c>
    </row>
    <row r="881" spans="27:29">
      <c r="AA881" s="50">
        <v>592.4</v>
      </c>
      <c r="AB881" s="51">
        <v>90.212999999999994</v>
      </c>
      <c r="AC881" s="52">
        <f t="shared" si="545"/>
        <v>4.4730874637064072E-2</v>
      </c>
    </row>
    <row r="882" spans="27:29">
      <c r="AA882" s="50">
        <v>592.29999999999995</v>
      </c>
      <c r="AB882" s="51">
        <v>90.254000000000005</v>
      </c>
      <c r="AC882" s="52">
        <f t="shared" si="545"/>
        <v>4.4533541339958398E-2</v>
      </c>
    </row>
    <row r="883" spans="27:29">
      <c r="AA883" s="50">
        <v>592.20000000000005</v>
      </c>
      <c r="AB883" s="51">
        <v>90.173000000000002</v>
      </c>
      <c r="AC883" s="52">
        <f t="shared" si="545"/>
        <v>4.4923481375512296E-2</v>
      </c>
    </row>
    <row r="884" spans="27:29">
      <c r="AA884" s="50">
        <v>592.1</v>
      </c>
      <c r="AB884" s="51">
        <v>90.355999999999995</v>
      </c>
      <c r="AC884" s="52">
        <f t="shared" si="545"/>
        <v>4.4043003253875841E-2</v>
      </c>
    </row>
    <row r="885" spans="27:29">
      <c r="AA885" s="50">
        <v>592</v>
      </c>
      <c r="AB885" s="51">
        <v>90.284000000000006</v>
      </c>
      <c r="AC885" s="52">
        <f t="shared" si="545"/>
        <v>4.4389207907916159E-2</v>
      </c>
    </row>
    <row r="886" spans="27:29">
      <c r="AA886" s="50">
        <v>591.9</v>
      </c>
      <c r="AB886" s="51">
        <v>90.322999999999993</v>
      </c>
      <c r="AC886" s="52">
        <f t="shared" si="545"/>
        <v>4.4201646129496897E-2</v>
      </c>
    </row>
    <row r="887" spans="27:29">
      <c r="AA887" s="50">
        <v>591.79999999999995</v>
      </c>
      <c r="AB887" s="51">
        <v>90.296000000000006</v>
      </c>
      <c r="AC887" s="52">
        <f t="shared" si="545"/>
        <v>4.4331487963398378E-2</v>
      </c>
    </row>
    <row r="888" spans="27:29">
      <c r="AA888" s="50">
        <v>591.70000000000005</v>
      </c>
      <c r="AB888" s="51">
        <v>90.313000000000002</v>
      </c>
      <c r="AC888" s="52">
        <f t="shared" si="545"/>
        <v>4.4249731171498149E-2</v>
      </c>
    </row>
    <row r="889" spans="27:29">
      <c r="AA889" s="50">
        <v>591.6</v>
      </c>
      <c r="AB889" s="51">
        <v>90.31</v>
      </c>
      <c r="AC889" s="52">
        <f t="shared" si="545"/>
        <v>4.4264157722334184E-2</v>
      </c>
    </row>
    <row r="890" spans="27:29">
      <c r="AA890" s="50">
        <v>591.5</v>
      </c>
      <c r="AB890" s="51">
        <v>90.33</v>
      </c>
      <c r="AC890" s="52">
        <f t="shared" si="545"/>
        <v>4.4167989767578249E-2</v>
      </c>
    </row>
    <row r="891" spans="27:29">
      <c r="AA891" s="50">
        <v>591.4</v>
      </c>
      <c r="AB891" s="51">
        <v>90.275999999999996</v>
      </c>
      <c r="AC891" s="52">
        <f t="shared" si="545"/>
        <v>4.442769213318757E-2</v>
      </c>
    </row>
    <row r="892" spans="27:29">
      <c r="AA892" s="50">
        <v>591.29999999999995</v>
      </c>
      <c r="AB892" s="51">
        <v>90.296999999999997</v>
      </c>
      <c r="AC892" s="52">
        <f t="shared" si="545"/>
        <v>4.4326678314276863E-2</v>
      </c>
    </row>
    <row r="893" spans="27:29">
      <c r="AA893" s="50">
        <v>591.20000000000005</v>
      </c>
      <c r="AB893" s="51">
        <v>90.284999999999997</v>
      </c>
      <c r="AC893" s="52">
        <f t="shared" si="545"/>
        <v>4.4384397619528886E-2</v>
      </c>
    </row>
    <row r="894" spans="27:29">
      <c r="AA894" s="50">
        <v>591.1</v>
      </c>
      <c r="AB894" s="51">
        <v>90.307000000000002</v>
      </c>
      <c r="AC894" s="52">
        <f t="shared" si="545"/>
        <v>4.4278584752412503E-2</v>
      </c>
    </row>
    <row r="895" spans="27:29">
      <c r="AA895" s="50">
        <v>591</v>
      </c>
      <c r="AB895" s="51">
        <v>90.292000000000002</v>
      </c>
      <c r="AC895" s="52">
        <f t="shared" si="545"/>
        <v>4.4350727092553124E-2</v>
      </c>
    </row>
    <row r="896" spans="27:29">
      <c r="AA896" s="50">
        <v>590.9</v>
      </c>
      <c r="AB896" s="51">
        <v>90.298000000000002</v>
      </c>
      <c r="AC896" s="52">
        <f t="shared" si="545"/>
        <v>4.432186871841972E-2</v>
      </c>
    </row>
    <row r="897" spans="27:29">
      <c r="AA897" s="50">
        <v>590.79999999999995</v>
      </c>
      <c r="AB897" s="51">
        <v>90.308000000000007</v>
      </c>
      <c r="AC897" s="52">
        <f t="shared" si="545"/>
        <v>4.427377568913525E-2</v>
      </c>
    </row>
    <row r="898" spans="27:29">
      <c r="AA898" s="50">
        <v>590.70000000000005</v>
      </c>
      <c r="AB898" s="51">
        <v>90.277000000000001</v>
      </c>
      <c r="AC898" s="52">
        <f t="shared" si="545"/>
        <v>4.4422881418528654E-2</v>
      </c>
    </row>
    <row r="899" spans="27:29">
      <c r="AA899" s="50">
        <v>590.6</v>
      </c>
      <c r="AB899" s="51">
        <v>90.284000000000006</v>
      </c>
      <c r="AC899" s="52">
        <f t="shared" si="545"/>
        <v>4.4389207907916159E-2</v>
      </c>
    </row>
    <row r="900" spans="27:29">
      <c r="AA900" s="50">
        <v>590.5</v>
      </c>
      <c r="AB900" s="51">
        <v>90.326999999999998</v>
      </c>
      <c r="AC900" s="52">
        <f t="shared" si="545"/>
        <v>4.418241360330926E-2</v>
      </c>
    </row>
    <row r="901" spans="27:29">
      <c r="AA901" s="50">
        <v>590.4</v>
      </c>
      <c r="AB901" s="51">
        <v>90.335999999999999</v>
      </c>
      <c r="AC901" s="52">
        <f t="shared" si="545"/>
        <v>4.4139143533174705E-2</v>
      </c>
    </row>
    <row r="902" spans="27:29">
      <c r="AA902" s="50">
        <v>590.29999999999995</v>
      </c>
      <c r="AB902" s="51">
        <v>90.373999999999995</v>
      </c>
      <c r="AC902" s="52">
        <f t="shared" si="545"/>
        <v>4.3956495195444936E-2</v>
      </c>
    </row>
    <row r="903" spans="27:29">
      <c r="AA903" s="50">
        <v>590.20000000000005</v>
      </c>
      <c r="AB903" s="51">
        <v>90.367999999999995</v>
      </c>
      <c r="AC903" s="52">
        <f t="shared" si="545"/>
        <v>4.3985329300327905E-2</v>
      </c>
    </row>
    <row r="904" spans="27:29">
      <c r="AA904" s="50">
        <v>590.1</v>
      </c>
      <c r="AB904" s="51">
        <v>90.34</v>
      </c>
      <c r="AC904" s="52">
        <f t="shared" si="545"/>
        <v>4.4119913774624611E-2</v>
      </c>
    </row>
    <row r="905" spans="27:29">
      <c r="AA905" s="50">
        <v>590</v>
      </c>
      <c r="AB905" s="51">
        <v>90.334999999999994</v>
      </c>
      <c r="AC905" s="52">
        <f t="shared" si="545"/>
        <v>4.4143951105855499E-2</v>
      </c>
    </row>
    <row r="906" spans="27:29">
      <c r="AA906" s="50">
        <v>589.9</v>
      </c>
      <c r="AB906" s="51">
        <v>90.308999999999997</v>
      </c>
      <c r="AC906" s="52">
        <f t="shared" ref="AC906:AC969" si="546">-LOG(AB906/100)</f>
        <v>4.4268966679109609E-2</v>
      </c>
    </row>
    <row r="907" spans="27:29">
      <c r="AA907" s="50">
        <v>589.79999999999995</v>
      </c>
      <c r="AB907" s="51">
        <v>90.302999999999997</v>
      </c>
      <c r="AC907" s="52">
        <f t="shared" si="546"/>
        <v>4.4297821538060021E-2</v>
      </c>
    </row>
    <row r="908" spans="27:29">
      <c r="AA908" s="50">
        <v>589.70000000000005</v>
      </c>
      <c r="AB908" s="51">
        <v>90.293000000000006</v>
      </c>
      <c r="AC908" s="52">
        <f t="shared" si="546"/>
        <v>4.4345917230361853E-2</v>
      </c>
    </row>
    <row r="909" spans="27:29">
      <c r="AA909" s="50">
        <v>589.6</v>
      </c>
      <c r="AB909" s="51">
        <v>90.347999999999999</v>
      </c>
      <c r="AC909" s="52">
        <f t="shared" si="546"/>
        <v>4.4081456811710697E-2</v>
      </c>
    </row>
    <row r="910" spans="27:29">
      <c r="AA910" s="50">
        <v>589.5</v>
      </c>
      <c r="AB910" s="51">
        <v>90.341999999999999</v>
      </c>
      <c r="AC910" s="52">
        <f t="shared" si="546"/>
        <v>4.4110299214636974E-2</v>
      </c>
    </row>
    <row r="911" spans="27:29">
      <c r="AA911" s="50">
        <v>589.4</v>
      </c>
      <c r="AB911" s="51">
        <v>90.26</v>
      </c>
      <c r="AC911" s="52">
        <f t="shared" si="546"/>
        <v>4.4504670815872928E-2</v>
      </c>
    </row>
    <row r="912" spans="27:29">
      <c r="AA912" s="50">
        <v>589.29999999999995</v>
      </c>
      <c r="AB912" s="51">
        <v>90.266000000000005</v>
      </c>
      <c r="AC912" s="52">
        <f t="shared" si="546"/>
        <v>4.4475802210881106E-2</v>
      </c>
    </row>
    <row r="913" spans="27:29">
      <c r="AA913" s="50">
        <v>589.20000000000005</v>
      </c>
      <c r="AB913" s="51">
        <v>90.27</v>
      </c>
      <c r="AC913" s="52">
        <f t="shared" si="546"/>
        <v>4.4456557540257034E-2</v>
      </c>
    </row>
    <row r="914" spans="27:29">
      <c r="AA914" s="50">
        <v>589.1</v>
      </c>
      <c r="AB914" s="51">
        <v>90.319000000000003</v>
      </c>
      <c r="AC914" s="52">
        <f t="shared" si="546"/>
        <v>4.4220879507425551E-2</v>
      </c>
    </row>
    <row r="915" spans="27:29">
      <c r="AA915" s="50">
        <v>589</v>
      </c>
      <c r="AB915" s="51">
        <v>90.39</v>
      </c>
      <c r="AC915" s="52">
        <f t="shared" si="546"/>
        <v>4.3879613606980408E-2</v>
      </c>
    </row>
    <row r="916" spans="27:29">
      <c r="AA916" s="50">
        <v>588.9</v>
      </c>
      <c r="AB916" s="51">
        <v>90.388000000000005</v>
      </c>
      <c r="AC916" s="52">
        <f t="shared" si="546"/>
        <v>4.3889223061270674E-2</v>
      </c>
    </row>
    <row r="917" spans="27:29">
      <c r="AA917" s="50">
        <v>588.79999999999995</v>
      </c>
      <c r="AB917" s="51">
        <v>90.37</v>
      </c>
      <c r="AC917" s="52">
        <f t="shared" si="546"/>
        <v>4.3975717719322835E-2</v>
      </c>
    </row>
    <row r="918" spans="27:29">
      <c r="AA918" s="50">
        <v>588.70000000000005</v>
      </c>
      <c r="AB918" s="51">
        <v>90.293000000000006</v>
      </c>
      <c r="AC918" s="52">
        <f t="shared" si="546"/>
        <v>4.4345917230361853E-2</v>
      </c>
    </row>
    <row r="919" spans="27:29">
      <c r="AA919" s="50">
        <v>588.6</v>
      </c>
      <c r="AB919" s="51">
        <v>90.302000000000007</v>
      </c>
      <c r="AC919" s="52">
        <f t="shared" si="546"/>
        <v>4.4302630867612422E-2</v>
      </c>
    </row>
    <row r="920" spans="27:29">
      <c r="AA920" s="50">
        <v>588.5</v>
      </c>
      <c r="AB920" s="51">
        <v>90.36</v>
      </c>
      <c r="AC920" s="52">
        <f t="shared" si="546"/>
        <v>4.4023777751674618E-2</v>
      </c>
    </row>
    <row r="921" spans="27:29">
      <c r="AA921" s="50">
        <v>588.4</v>
      </c>
      <c r="AB921" s="51">
        <v>90.340999999999994</v>
      </c>
      <c r="AC921" s="52">
        <f t="shared" si="546"/>
        <v>4.4115106468024516E-2</v>
      </c>
    </row>
    <row r="922" spans="27:29">
      <c r="AA922" s="50">
        <v>588.29999999999995</v>
      </c>
      <c r="AB922" s="51">
        <v>90.346000000000004</v>
      </c>
      <c r="AC922" s="52">
        <f t="shared" si="546"/>
        <v>4.4091070733189415E-2</v>
      </c>
    </row>
    <row r="923" spans="27:29">
      <c r="AA923" s="50">
        <v>588.20000000000005</v>
      </c>
      <c r="AB923" s="51">
        <v>90.313000000000002</v>
      </c>
      <c r="AC923" s="52">
        <f t="shared" si="546"/>
        <v>4.4249731171498149E-2</v>
      </c>
    </row>
    <row r="924" spans="27:29">
      <c r="AA924" s="50">
        <v>588.1</v>
      </c>
      <c r="AB924" s="51">
        <v>90.274000000000001</v>
      </c>
      <c r="AC924" s="52">
        <f t="shared" si="546"/>
        <v>4.4437313722374423E-2</v>
      </c>
    </row>
    <row r="925" spans="27:29">
      <c r="AA925" s="50">
        <v>588</v>
      </c>
      <c r="AB925" s="51">
        <v>90.293999999999997</v>
      </c>
      <c r="AC925" s="52">
        <f t="shared" si="546"/>
        <v>4.434110742143977E-2</v>
      </c>
    </row>
    <row r="926" spans="27:29">
      <c r="AA926" s="50">
        <v>587.9</v>
      </c>
      <c r="AB926" s="51">
        <v>90.287000000000006</v>
      </c>
      <c r="AC926" s="52">
        <f t="shared" si="546"/>
        <v>4.4374777202588853E-2</v>
      </c>
    </row>
    <row r="927" spans="27:29">
      <c r="AA927" s="50">
        <v>587.79999999999995</v>
      </c>
      <c r="AB927" s="51">
        <v>90.3</v>
      </c>
      <c r="AC927" s="52">
        <f t="shared" si="546"/>
        <v>4.4312249686494193E-2</v>
      </c>
    </row>
    <row r="928" spans="27:29">
      <c r="AA928" s="50">
        <v>587.70000000000005</v>
      </c>
      <c r="AB928" s="51">
        <v>90.323999999999998</v>
      </c>
      <c r="AC928" s="52">
        <f t="shared" si="546"/>
        <v>4.4196837918102236E-2</v>
      </c>
    </row>
    <row r="929" spans="27:29">
      <c r="AA929" s="50">
        <v>587.6</v>
      </c>
      <c r="AB929" s="51">
        <v>90.349000000000004</v>
      </c>
      <c r="AC929" s="52">
        <f t="shared" si="546"/>
        <v>4.4076649930778408E-2</v>
      </c>
    </row>
    <row r="930" spans="27:29">
      <c r="AA930" s="50">
        <v>587.5</v>
      </c>
      <c r="AB930" s="51">
        <v>90.335999999999999</v>
      </c>
      <c r="AC930" s="52">
        <f t="shared" si="546"/>
        <v>4.4139143533174705E-2</v>
      </c>
    </row>
    <row r="931" spans="27:29">
      <c r="AA931" s="50">
        <v>587.4</v>
      </c>
      <c r="AB931" s="51">
        <v>90.328000000000003</v>
      </c>
      <c r="AC931" s="52">
        <f t="shared" si="546"/>
        <v>4.4177605604838022E-2</v>
      </c>
    </row>
    <row r="932" spans="27:29">
      <c r="AA932" s="50">
        <v>587.29999999999995</v>
      </c>
      <c r="AB932" s="51">
        <v>90.215999999999994</v>
      </c>
      <c r="AC932" s="52">
        <f t="shared" si="546"/>
        <v>4.4716432574581556E-2</v>
      </c>
    </row>
    <row r="933" spans="27:29">
      <c r="AA933" s="50">
        <v>587.20000000000005</v>
      </c>
      <c r="AB933" s="51">
        <v>90.212000000000003</v>
      </c>
      <c r="AC933" s="52">
        <f t="shared" si="546"/>
        <v>4.4735688764617414E-2</v>
      </c>
    </row>
    <row r="934" spans="27:29">
      <c r="AA934" s="50">
        <v>587.1</v>
      </c>
      <c r="AB934" s="51">
        <v>90.268000000000001</v>
      </c>
      <c r="AC934" s="52">
        <f t="shared" si="546"/>
        <v>4.4466179768971631E-2</v>
      </c>
    </row>
    <row r="935" spans="27:29">
      <c r="AA935" s="50">
        <v>587</v>
      </c>
      <c r="AB935" s="51">
        <v>90.361999999999995</v>
      </c>
      <c r="AC935" s="52">
        <f t="shared" si="546"/>
        <v>4.4014165319720092E-2</v>
      </c>
    </row>
    <row r="936" spans="27:29">
      <c r="AA936" s="50">
        <v>586.9</v>
      </c>
      <c r="AB936" s="51">
        <v>90.373999999999995</v>
      </c>
      <c r="AC936" s="52">
        <f t="shared" si="546"/>
        <v>4.3956495195444936E-2</v>
      </c>
    </row>
    <row r="937" spans="27:29">
      <c r="AA937" s="50">
        <v>586.79999999999995</v>
      </c>
      <c r="AB937" s="51">
        <v>90.363</v>
      </c>
      <c r="AC937" s="52">
        <f t="shared" si="546"/>
        <v>4.40093591835252E-2</v>
      </c>
    </row>
    <row r="938" spans="27:29">
      <c r="AA938" s="50">
        <v>586.70000000000005</v>
      </c>
      <c r="AB938" s="51">
        <v>90.34</v>
      </c>
      <c r="AC938" s="52">
        <f t="shared" si="546"/>
        <v>4.4119913774624611E-2</v>
      </c>
    </row>
    <row r="939" spans="27:29">
      <c r="AA939" s="50">
        <v>586.6</v>
      </c>
      <c r="AB939" s="51">
        <v>90.292000000000002</v>
      </c>
      <c r="AC939" s="52">
        <f t="shared" si="546"/>
        <v>4.4350727092553124E-2</v>
      </c>
    </row>
    <row r="940" spans="27:29">
      <c r="AA940" s="50">
        <v>586.5</v>
      </c>
      <c r="AB940" s="51">
        <v>90.313000000000002</v>
      </c>
      <c r="AC940" s="52">
        <f t="shared" si="546"/>
        <v>4.4249731171498149E-2</v>
      </c>
    </row>
    <row r="941" spans="27:29">
      <c r="AA941" s="50">
        <v>586.4</v>
      </c>
      <c r="AB941" s="51">
        <v>90.286000000000001</v>
      </c>
      <c r="AC941" s="52">
        <f t="shared" si="546"/>
        <v>4.437958738442014E-2</v>
      </c>
    </row>
    <row r="942" spans="27:29">
      <c r="AA942" s="50">
        <v>586.29999999999995</v>
      </c>
      <c r="AB942" s="51">
        <v>90.326999999999998</v>
      </c>
      <c r="AC942" s="52">
        <f t="shared" si="546"/>
        <v>4.418241360330926E-2</v>
      </c>
    </row>
    <row r="943" spans="27:29">
      <c r="AA943" s="50">
        <v>586.20000000000005</v>
      </c>
      <c r="AB943" s="51">
        <v>90.293000000000006</v>
      </c>
      <c r="AC943" s="52">
        <f t="shared" si="546"/>
        <v>4.4345917230361853E-2</v>
      </c>
    </row>
    <row r="944" spans="27:29">
      <c r="AA944" s="50">
        <v>586.1</v>
      </c>
      <c r="AB944" s="51">
        <v>90.233000000000004</v>
      </c>
      <c r="AC944" s="52">
        <f t="shared" si="546"/>
        <v>4.4634603290803841E-2</v>
      </c>
    </row>
    <row r="945" spans="27:29">
      <c r="AA945" s="50">
        <v>586</v>
      </c>
      <c r="AB945" s="51">
        <v>90.251999999999995</v>
      </c>
      <c r="AC945" s="52">
        <f t="shared" si="546"/>
        <v>4.4543165274496227E-2</v>
      </c>
    </row>
    <row r="946" spans="27:29">
      <c r="AA946" s="50">
        <v>585.9</v>
      </c>
      <c r="AB946" s="51">
        <v>90.265000000000001</v>
      </c>
      <c r="AC946" s="52">
        <f t="shared" si="546"/>
        <v>4.4480613511786886E-2</v>
      </c>
    </row>
    <row r="947" spans="27:29">
      <c r="AA947" s="50">
        <v>585.79999999999995</v>
      </c>
      <c r="AB947" s="51">
        <v>90.314999999999998</v>
      </c>
      <c r="AC947" s="52">
        <f t="shared" si="546"/>
        <v>4.4240113737170766E-2</v>
      </c>
    </row>
    <row r="948" spans="27:29">
      <c r="AA948" s="50">
        <v>585.70000000000005</v>
      </c>
      <c r="AB948" s="51">
        <v>90.355000000000004</v>
      </c>
      <c r="AC948" s="52">
        <f t="shared" si="546"/>
        <v>4.4047809762410475E-2</v>
      </c>
    </row>
    <row r="949" spans="27:29">
      <c r="AA949" s="50">
        <v>585.6</v>
      </c>
      <c r="AB949" s="51">
        <v>90.292000000000002</v>
      </c>
      <c r="AC949" s="52">
        <f t="shared" si="546"/>
        <v>4.4350727092553124E-2</v>
      </c>
    </row>
    <row r="950" spans="27:29">
      <c r="AA950" s="50">
        <v>585.5</v>
      </c>
      <c r="AB950" s="51">
        <v>90.32</v>
      </c>
      <c r="AC950" s="52">
        <f t="shared" si="546"/>
        <v>4.4216071083088608E-2</v>
      </c>
    </row>
    <row r="951" spans="27:29">
      <c r="AA951" s="50">
        <v>585.4</v>
      </c>
      <c r="AB951" s="51">
        <v>90.319000000000003</v>
      </c>
      <c r="AC951" s="52">
        <f t="shared" si="546"/>
        <v>4.4220879507425551E-2</v>
      </c>
    </row>
    <row r="952" spans="27:29">
      <c r="AA952" s="50">
        <v>585.29999999999995</v>
      </c>
      <c r="AB952" s="51">
        <v>90.292000000000002</v>
      </c>
      <c r="AC952" s="52">
        <f t="shared" si="546"/>
        <v>4.4350727092553124E-2</v>
      </c>
    </row>
    <row r="953" spans="27:29">
      <c r="AA953" s="50">
        <v>585.20000000000005</v>
      </c>
      <c r="AB953" s="51">
        <v>90.269000000000005</v>
      </c>
      <c r="AC953" s="52">
        <f t="shared" si="546"/>
        <v>4.4461368627965514E-2</v>
      </c>
    </row>
    <row r="954" spans="27:29">
      <c r="AA954" s="50">
        <v>585.1</v>
      </c>
      <c r="AB954" s="51">
        <v>90.308000000000007</v>
      </c>
      <c r="AC954" s="52">
        <f t="shared" si="546"/>
        <v>4.427377568913525E-2</v>
      </c>
    </row>
    <row r="955" spans="27:29">
      <c r="AA955" s="50">
        <v>585</v>
      </c>
      <c r="AB955" s="51">
        <v>90.350999999999999</v>
      </c>
      <c r="AC955" s="52">
        <f t="shared" si="546"/>
        <v>4.4067036328522262E-2</v>
      </c>
    </row>
    <row r="956" spans="27:29">
      <c r="AA956" s="50">
        <v>584.9</v>
      </c>
      <c r="AB956" s="51">
        <v>90.284000000000006</v>
      </c>
      <c r="AC956" s="52">
        <f t="shared" si="546"/>
        <v>4.4389207907916159E-2</v>
      </c>
    </row>
    <row r="957" spans="27:29">
      <c r="AA957" s="50">
        <v>584.79999999999995</v>
      </c>
      <c r="AB957" s="51">
        <v>90.275000000000006</v>
      </c>
      <c r="AC957" s="52">
        <f t="shared" si="546"/>
        <v>4.4432502901135748E-2</v>
      </c>
    </row>
    <row r="958" spans="27:29">
      <c r="AA958" s="50">
        <v>584.70000000000005</v>
      </c>
      <c r="AB958" s="51">
        <v>90.286000000000001</v>
      </c>
      <c r="AC958" s="52">
        <f t="shared" si="546"/>
        <v>4.437958738442014E-2</v>
      </c>
    </row>
    <row r="959" spans="27:29">
      <c r="AA959" s="50">
        <v>584.6</v>
      </c>
      <c r="AB959" s="51">
        <v>90.289000000000001</v>
      </c>
      <c r="AC959" s="52">
        <f t="shared" si="546"/>
        <v>4.4365156998754034E-2</v>
      </c>
    </row>
    <row r="960" spans="27:29">
      <c r="AA960" s="50">
        <v>584.5</v>
      </c>
      <c r="AB960" s="51">
        <v>90.337999999999994</v>
      </c>
      <c r="AC960" s="52">
        <f t="shared" si="546"/>
        <v>4.4129528547467378E-2</v>
      </c>
    </row>
    <row r="961" spans="27:29">
      <c r="AA961" s="50">
        <v>584.4</v>
      </c>
      <c r="AB961" s="51">
        <v>90.367999999999995</v>
      </c>
      <c r="AC961" s="52">
        <f t="shared" si="546"/>
        <v>4.3985329300327905E-2</v>
      </c>
    </row>
    <row r="962" spans="27:29">
      <c r="AA962" s="50">
        <v>584.29999999999995</v>
      </c>
      <c r="AB962" s="51">
        <v>90.375</v>
      </c>
      <c r="AC962" s="52">
        <f t="shared" si="546"/>
        <v>4.3951689697412741E-2</v>
      </c>
    </row>
    <row r="963" spans="27:29">
      <c r="AA963" s="50">
        <v>584.20000000000005</v>
      </c>
      <c r="AB963" s="51">
        <v>90.340999999999994</v>
      </c>
      <c r="AC963" s="52">
        <f t="shared" si="546"/>
        <v>4.4115106468024516E-2</v>
      </c>
    </row>
    <row r="964" spans="27:29">
      <c r="AA964" s="50">
        <v>584.1</v>
      </c>
      <c r="AB964" s="51">
        <v>90.254999999999995</v>
      </c>
      <c r="AC964" s="52">
        <f t="shared" si="546"/>
        <v>4.4528729452662959E-2</v>
      </c>
    </row>
    <row r="965" spans="27:29">
      <c r="AA965" s="50">
        <v>584</v>
      </c>
      <c r="AB965" s="51">
        <v>90.227000000000004</v>
      </c>
      <c r="AC965" s="52">
        <f t="shared" si="546"/>
        <v>4.4663482453968888E-2</v>
      </c>
    </row>
    <row r="966" spans="27:29">
      <c r="AA966" s="50">
        <v>583.9</v>
      </c>
      <c r="AB966" s="51">
        <v>90.245000000000005</v>
      </c>
      <c r="AC966" s="52">
        <f t="shared" si="546"/>
        <v>4.4576850724945181E-2</v>
      </c>
    </row>
    <row r="967" spans="27:29">
      <c r="AA967" s="50">
        <v>583.79999999999995</v>
      </c>
      <c r="AB967" s="51">
        <v>90.284999999999997</v>
      </c>
      <c r="AC967" s="52">
        <f t="shared" si="546"/>
        <v>4.4384397619528886E-2</v>
      </c>
    </row>
    <row r="968" spans="27:29">
      <c r="AA968" s="50">
        <v>583.70000000000005</v>
      </c>
      <c r="AB968" s="51">
        <v>90.316999999999993</v>
      </c>
      <c r="AC968" s="52">
        <f t="shared" si="546"/>
        <v>4.4230496515816432E-2</v>
      </c>
    </row>
    <row r="969" spans="27:29">
      <c r="AA969" s="50">
        <v>583.6</v>
      </c>
      <c r="AB969" s="51">
        <v>90.308999999999997</v>
      </c>
      <c r="AC969" s="52">
        <f t="shared" si="546"/>
        <v>4.4268966679109609E-2</v>
      </c>
    </row>
    <row r="970" spans="27:29">
      <c r="AA970" s="50">
        <v>583.5</v>
      </c>
      <c r="AB970" s="51">
        <v>90.34</v>
      </c>
      <c r="AC970" s="52">
        <f t="shared" ref="AC970:AC1033" si="547">-LOG(AB970/100)</f>
        <v>4.4119913774624611E-2</v>
      </c>
    </row>
    <row r="971" spans="27:29">
      <c r="AA971" s="50">
        <v>583.4</v>
      </c>
      <c r="AB971" s="51">
        <v>90.311000000000007</v>
      </c>
      <c r="AC971" s="52">
        <f t="shared" si="547"/>
        <v>4.4259348818807893E-2</v>
      </c>
    </row>
    <row r="972" spans="27:29">
      <c r="AA972" s="50">
        <v>583.29999999999995</v>
      </c>
      <c r="AB972" s="51">
        <v>90.3</v>
      </c>
      <c r="AC972" s="52">
        <f t="shared" si="547"/>
        <v>4.4312249686494193E-2</v>
      </c>
    </row>
    <row r="973" spans="27:29">
      <c r="AA973" s="50">
        <v>583.20000000000005</v>
      </c>
      <c r="AB973" s="51">
        <v>90.325000000000003</v>
      </c>
      <c r="AC973" s="52">
        <f t="shared" si="547"/>
        <v>4.419202975994016E-2</v>
      </c>
    </row>
    <row r="974" spans="27:29">
      <c r="AA974" s="50">
        <v>583.1</v>
      </c>
      <c r="AB974" s="51">
        <v>90.367000000000004</v>
      </c>
      <c r="AC974" s="52">
        <f t="shared" si="547"/>
        <v>4.3990135170600971E-2</v>
      </c>
    </row>
    <row r="975" spans="27:29">
      <c r="AA975" s="50">
        <v>583</v>
      </c>
      <c r="AB975" s="51">
        <v>90.317999999999998</v>
      </c>
      <c r="AC975" s="52">
        <f t="shared" si="547"/>
        <v>4.4225687985001136E-2</v>
      </c>
    </row>
    <row r="976" spans="27:29">
      <c r="AA976" s="50">
        <v>582.9</v>
      </c>
      <c r="AB976" s="51">
        <v>90.317999999999998</v>
      </c>
      <c r="AC976" s="52">
        <f t="shared" si="547"/>
        <v>4.4225687985001136E-2</v>
      </c>
    </row>
    <row r="977" spans="27:29">
      <c r="AA977" s="50">
        <v>582.79999999999995</v>
      </c>
      <c r="AB977" s="51">
        <v>90.301000000000002</v>
      </c>
      <c r="AC977" s="52">
        <f t="shared" si="547"/>
        <v>4.4307440250423456E-2</v>
      </c>
    </row>
    <row r="978" spans="27:29">
      <c r="AA978" s="50">
        <v>582.70000000000005</v>
      </c>
      <c r="AB978" s="51">
        <v>90.275000000000006</v>
      </c>
      <c r="AC978" s="52">
        <f t="shared" si="547"/>
        <v>4.4432502901135748E-2</v>
      </c>
    </row>
    <row r="979" spans="27:29">
      <c r="AA979" s="50">
        <v>582.6</v>
      </c>
      <c r="AB979" s="51">
        <v>90.245999999999995</v>
      </c>
      <c r="AC979" s="52">
        <f t="shared" si="547"/>
        <v>4.4572038357770079E-2</v>
      </c>
    </row>
    <row r="980" spans="27:29">
      <c r="AA980" s="50">
        <v>582.5</v>
      </c>
      <c r="AB980" s="51">
        <v>90.325999999999993</v>
      </c>
      <c r="AC980" s="52">
        <f t="shared" si="547"/>
        <v>4.4187221655009594E-2</v>
      </c>
    </row>
    <row r="981" spans="27:29">
      <c r="AA981" s="50">
        <v>582.4</v>
      </c>
      <c r="AB981" s="51">
        <v>90.337999999999994</v>
      </c>
      <c r="AC981" s="52">
        <f t="shared" si="547"/>
        <v>4.4129528547467378E-2</v>
      </c>
    </row>
    <row r="982" spans="27:29">
      <c r="AA982" s="50">
        <v>582.29999999999995</v>
      </c>
      <c r="AB982" s="51">
        <v>90.331000000000003</v>
      </c>
      <c r="AC982" s="52">
        <f t="shared" si="547"/>
        <v>4.4163181928787251E-2</v>
      </c>
    </row>
    <row r="983" spans="27:29">
      <c r="AA983" s="50">
        <v>582.20000000000005</v>
      </c>
      <c r="AB983" s="51">
        <v>90.325999999999993</v>
      </c>
      <c r="AC983" s="52">
        <f t="shared" si="547"/>
        <v>4.4187221655009594E-2</v>
      </c>
    </row>
    <row r="984" spans="27:29">
      <c r="AA984" s="50">
        <v>582.1</v>
      </c>
      <c r="AB984" s="51">
        <v>90.251000000000005</v>
      </c>
      <c r="AC984" s="52">
        <f t="shared" si="547"/>
        <v>4.4547977321740935E-2</v>
      </c>
    </row>
    <row r="985" spans="27:29">
      <c r="AA985" s="50">
        <v>582</v>
      </c>
      <c r="AB985" s="51">
        <v>90.251999999999995</v>
      </c>
      <c r="AC985" s="52">
        <f t="shared" si="547"/>
        <v>4.4543165274496227E-2</v>
      </c>
    </row>
    <row r="986" spans="27:29">
      <c r="AA986" s="50">
        <v>581.9</v>
      </c>
      <c r="AB986" s="51">
        <v>90.265000000000001</v>
      </c>
      <c r="AC986" s="52">
        <f t="shared" si="547"/>
        <v>4.4480613511786886E-2</v>
      </c>
    </row>
    <row r="987" spans="27:29">
      <c r="AA987" s="50">
        <v>581.79999999999995</v>
      </c>
      <c r="AB987" s="51">
        <v>90.292000000000002</v>
      </c>
      <c r="AC987" s="52">
        <f t="shared" si="547"/>
        <v>4.4350727092553124E-2</v>
      </c>
    </row>
    <row r="988" spans="27:29">
      <c r="AA988" s="50">
        <v>581.70000000000005</v>
      </c>
      <c r="AB988" s="51">
        <v>90.290999999999997</v>
      </c>
      <c r="AC988" s="52">
        <f t="shared" si="547"/>
        <v>4.4355537008014832E-2</v>
      </c>
    </row>
    <row r="989" spans="27:29">
      <c r="AA989" s="50">
        <v>581.6</v>
      </c>
      <c r="AB989" s="51">
        <v>90.29</v>
      </c>
      <c r="AC989" s="52">
        <f t="shared" si="547"/>
        <v>4.4360346976748039E-2</v>
      </c>
    </row>
    <row r="990" spans="27:29">
      <c r="AA990" s="50">
        <v>581.5</v>
      </c>
      <c r="AB990" s="51">
        <v>90.29</v>
      </c>
      <c r="AC990" s="52">
        <f t="shared" si="547"/>
        <v>4.4360346976748039E-2</v>
      </c>
    </row>
    <row r="991" spans="27:29">
      <c r="AA991" s="50">
        <v>581.4</v>
      </c>
      <c r="AB991" s="51">
        <v>90.224000000000004</v>
      </c>
      <c r="AC991" s="52">
        <f t="shared" si="547"/>
        <v>4.4677922755722035E-2</v>
      </c>
    </row>
    <row r="992" spans="27:29">
      <c r="AA992" s="50">
        <v>581.29999999999995</v>
      </c>
      <c r="AB992" s="51">
        <v>90.257999999999996</v>
      </c>
      <c r="AC992" s="52">
        <f t="shared" si="547"/>
        <v>4.4514294110656251E-2</v>
      </c>
    </row>
    <row r="993" spans="27:29">
      <c r="AA993" s="50">
        <v>581.20000000000005</v>
      </c>
      <c r="AB993" s="51">
        <v>90.302000000000007</v>
      </c>
      <c r="AC993" s="52">
        <f t="shared" si="547"/>
        <v>4.4302630867612422E-2</v>
      </c>
    </row>
    <row r="994" spans="27:29">
      <c r="AA994" s="50">
        <v>581.1</v>
      </c>
      <c r="AB994" s="51">
        <v>90.325999999999993</v>
      </c>
      <c r="AC994" s="52">
        <f t="shared" si="547"/>
        <v>4.4187221655009594E-2</v>
      </c>
    </row>
    <row r="995" spans="27:29">
      <c r="AA995" s="50">
        <v>581</v>
      </c>
      <c r="AB995" s="51">
        <v>90.332999999999998</v>
      </c>
      <c r="AC995" s="52">
        <f t="shared" si="547"/>
        <v>4.4153566410877337E-2</v>
      </c>
    </row>
    <row r="996" spans="27:29">
      <c r="AA996" s="50">
        <v>580.9</v>
      </c>
      <c r="AB996" s="51">
        <v>90.289000000000001</v>
      </c>
      <c r="AC996" s="52">
        <f t="shared" si="547"/>
        <v>4.4365156998754034E-2</v>
      </c>
    </row>
    <row r="997" spans="27:29">
      <c r="AA997" s="50">
        <v>580.79999999999995</v>
      </c>
      <c r="AB997" s="51">
        <v>90.221000000000004</v>
      </c>
      <c r="AC997" s="52">
        <f t="shared" si="547"/>
        <v>4.4692363537631521E-2</v>
      </c>
    </row>
    <row r="998" spans="27:29">
      <c r="AA998" s="50">
        <v>580.70000000000005</v>
      </c>
      <c r="AB998" s="51">
        <v>90.203999999999994</v>
      </c>
      <c r="AC998" s="52">
        <f t="shared" si="547"/>
        <v>4.4774203706280088E-2</v>
      </c>
    </row>
    <row r="999" spans="27:29">
      <c r="AA999" s="50">
        <v>580.6</v>
      </c>
      <c r="AB999" s="51">
        <v>90.245000000000005</v>
      </c>
      <c r="AC999" s="52">
        <f t="shared" si="547"/>
        <v>4.4576850724945181E-2</v>
      </c>
    </row>
    <row r="1000" spans="27:29">
      <c r="AA1000" s="50">
        <v>580.5</v>
      </c>
      <c r="AB1000" s="51">
        <v>90.277000000000001</v>
      </c>
      <c r="AC1000" s="52">
        <f t="shared" si="547"/>
        <v>4.4422881418528654E-2</v>
      </c>
    </row>
    <row r="1001" spans="27:29">
      <c r="AA1001" s="50">
        <v>580.4</v>
      </c>
      <c r="AB1001" s="51">
        <v>90.302000000000007</v>
      </c>
      <c r="AC1001" s="52">
        <f t="shared" si="547"/>
        <v>4.4302630867612422E-2</v>
      </c>
    </row>
    <row r="1002" spans="27:29">
      <c r="AA1002" s="50">
        <v>580.29999999999995</v>
      </c>
      <c r="AB1002" s="51">
        <v>90.322999999999993</v>
      </c>
      <c r="AC1002" s="52">
        <f t="shared" si="547"/>
        <v>4.4201646129496897E-2</v>
      </c>
    </row>
    <row r="1003" spans="27:29">
      <c r="AA1003" s="50">
        <v>580.20000000000005</v>
      </c>
      <c r="AB1003" s="51">
        <v>90.311000000000007</v>
      </c>
      <c r="AC1003" s="52">
        <f t="shared" si="547"/>
        <v>4.4259348818807893E-2</v>
      </c>
    </row>
    <row r="1004" spans="27:29">
      <c r="AA1004" s="50">
        <v>580.1</v>
      </c>
      <c r="AB1004" s="51">
        <v>90.27</v>
      </c>
      <c r="AC1004" s="52">
        <f t="shared" si="547"/>
        <v>4.4456557540257034E-2</v>
      </c>
    </row>
    <row r="1005" spans="27:29">
      <c r="AA1005" s="50">
        <v>580</v>
      </c>
      <c r="AB1005" s="51">
        <v>90.283000000000001</v>
      </c>
      <c r="AC1005" s="52">
        <f t="shared" si="547"/>
        <v>4.4394018249583361E-2</v>
      </c>
    </row>
    <row r="1006" spans="27:29">
      <c r="AA1006" s="50">
        <v>579.9</v>
      </c>
      <c r="AB1006" s="51">
        <v>90.284999999999997</v>
      </c>
      <c r="AC1006" s="52">
        <f t="shared" si="547"/>
        <v>4.4384397619528886E-2</v>
      </c>
    </row>
    <row r="1007" spans="27:29">
      <c r="AA1007" s="50">
        <v>579.79999999999995</v>
      </c>
      <c r="AB1007" s="51">
        <v>90.284000000000006</v>
      </c>
      <c r="AC1007" s="52">
        <f t="shared" si="547"/>
        <v>4.4389207907916159E-2</v>
      </c>
    </row>
    <row r="1008" spans="27:29">
      <c r="AA1008" s="50">
        <v>579.70000000000005</v>
      </c>
      <c r="AB1008" s="51">
        <v>90.284000000000006</v>
      </c>
      <c r="AC1008" s="52">
        <f t="shared" si="547"/>
        <v>4.4389207907916159E-2</v>
      </c>
    </row>
    <row r="1009" spans="27:29">
      <c r="AA1009" s="50">
        <v>579.6</v>
      </c>
      <c r="AB1009" s="51">
        <v>90.218999999999994</v>
      </c>
      <c r="AC1009" s="52">
        <f t="shared" si="547"/>
        <v>4.470199099234054E-2</v>
      </c>
    </row>
    <row r="1010" spans="27:29">
      <c r="AA1010" s="50">
        <v>579.5</v>
      </c>
      <c r="AB1010" s="51">
        <v>90.203000000000003</v>
      </c>
      <c r="AC1010" s="52">
        <f t="shared" si="547"/>
        <v>4.4779018314160111E-2</v>
      </c>
    </row>
    <row r="1011" spans="27:29">
      <c r="AA1011" s="50">
        <v>579.4</v>
      </c>
      <c r="AB1011" s="51">
        <v>90.253</v>
      </c>
      <c r="AC1011" s="52">
        <f t="shared" si="547"/>
        <v>4.4538353280569071E-2</v>
      </c>
    </row>
    <row r="1012" spans="27:29">
      <c r="AA1012" s="50">
        <v>579.29999999999995</v>
      </c>
      <c r="AB1012" s="51">
        <v>90.281000000000006</v>
      </c>
      <c r="AC1012" s="52">
        <f t="shared" si="547"/>
        <v>4.4403639092761821E-2</v>
      </c>
    </row>
    <row r="1013" spans="27:29">
      <c r="AA1013" s="50">
        <v>579.20000000000005</v>
      </c>
      <c r="AB1013" s="51">
        <v>90.323999999999998</v>
      </c>
      <c r="AC1013" s="52">
        <f t="shared" si="547"/>
        <v>4.4196837918102236E-2</v>
      </c>
    </row>
    <row r="1014" spans="27:29">
      <c r="AA1014" s="50">
        <v>579.1</v>
      </c>
      <c r="AB1014" s="51">
        <v>90.337999999999994</v>
      </c>
      <c r="AC1014" s="52">
        <f t="shared" si="547"/>
        <v>4.4129528547467378E-2</v>
      </c>
    </row>
    <row r="1015" spans="27:29">
      <c r="AA1015" s="50">
        <v>579</v>
      </c>
      <c r="AB1015" s="51">
        <v>90.364999999999995</v>
      </c>
      <c r="AC1015" s="52">
        <f t="shared" si="547"/>
        <v>4.3999747070694449E-2</v>
      </c>
    </row>
    <row r="1016" spans="27:29">
      <c r="AA1016" s="50">
        <v>578.9</v>
      </c>
      <c r="AB1016" s="51">
        <v>90.33</v>
      </c>
      <c r="AC1016" s="52">
        <f t="shared" si="547"/>
        <v>4.4167989767578249E-2</v>
      </c>
    </row>
    <row r="1017" spans="27:29">
      <c r="AA1017" s="50">
        <v>578.79999999999995</v>
      </c>
      <c r="AB1017" s="51">
        <v>90.283000000000001</v>
      </c>
      <c r="AC1017" s="52">
        <f t="shared" si="547"/>
        <v>4.4394018249583361E-2</v>
      </c>
    </row>
    <row r="1018" spans="27:29">
      <c r="AA1018" s="50">
        <v>578.70000000000005</v>
      </c>
      <c r="AB1018" s="51">
        <v>90.247</v>
      </c>
      <c r="AC1018" s="52">
        <f t="shared" si="547"/>
        <v>4.4567226043919564E-2</v>
      </c>
    </row>
    <row r="1019" spans="27:29">
      <c r="AA1019" s="50">
        <v>578.6</v>
      </c>
      <c r="AB1019" s="51">
        <v>90.268000000000001</v>
      </c>
      <c r="AC1019" s="52">
        <f t="shared" si="547"/>
        <v>4.4466179768971631E-2</v>
      </c>
    </row>
    <row r="1020" spans="27:29">
      <c r="AA1020" s="50">
        <v>578.5</v>
      </c>
      <c r="AB1020" s="51">
        <v>90.293999999999997</v>
      </c>
      <c r="AC1020" s="52">
        <f t="shared" si="547"/>
        <v>4.434110742143977E-2</v>
      </c>
    </row>
    <row r="1021" spans="27:29">
      <c r="AA1021" s="50">
        <v>578.4</v>
      </c>
      <c r="AB1021" s="51">
        <v>90.281999999999996</v>
      </c>
      <c r="AC1021" s="52">
        <f t="shared" si="547"/>
        <v>4.4398828644531554E-2</v>
      </c>
    </row>
    <row r="1022" spans="27:29">
      <c r="AA1022" s="50">
        <v>578.29999999999995</v>
      </c>
      <c r="AB1022" s="51">
        <v>90.32</v>
      </c>
      <c r="AC1022" s="52">
        <f t="shared" si="547"/>
        <v>4.4216071083088608E-2</v>
      </c>
    </row>
    <row r="1023" spans="27:29">
      <c r="AA1023" s="50">
        <v>578.20000000000005</v>
      </c>
      <c r="AB1023" s="51">
        <v>90.203999999999994</v>
      </c>
      <c r="AC1023" s="52">
        <f t="shared" si="547"/>
        <v>4.4774203706280088E-2</v>
      </c>
    </row>
    <row r="1024" spans="27:29">
      <c r="AA1024" s="50">
        <v>578.1</v>
      </c>
      <c r="AB1024" s="51">
        <v>90.253</v>
      </c>
      <c r="AC1024" s="52">
        <f t="shared" si="547"/>
        <v>4.4538353280569071E-2</v>
      </c>
    </row>
    <row r="1025" spans="27:29">
      <c r="AA1025" s="50">
        <v>578</v>
      </c>
      <c r="AB1025" s="51">
        <v>90.257000000000005</v>
      </c>
      <c r="AC1025" s="52">
        <f t="shared" si="547"/>
        <v>4.4519105838012989E-2</v>
      </c>
    </row>
    <row r="1026" spans="27:29">
      <c r="AA1026" s="50">
        <v>577.9</v>
      </c>
      <c r="AB1026" s="51">
        <v>90.343000000000004</v>
      </c>
      <c r="AC1026" s="52">
        <f t="shared" si="547"/>
        <v>4.4105492014460866E-2</v>
      </c>
    </row>
    <row r="1027" spans="27:29">
      <c r="AA1027" s="50">
        <v>577.79999999999995</v>
      </c>
      <c r="AB1027" s="51">
        <v>90.307000000000002</v>
      </c>
      <c r="AC1027" s="52">
        <f t="shared" si="547"/>
        <v>4.4278584752412503E-2</v>
      </c>
    </row>
    <row r="1028" spans="27:29">
      <c r="AA1028" s="50">
        <v>577.70000000000005</v>
      </c>
      <c r="AB1028" s="51">
        <v>90.334000000000003</v>
      </c>
      <c r="AC1028" s="52">
        <f t="shared" si="547"/>
        <v>4.4148758731755965E-2</v>
      </c>
    </row>
    <row r="1029" spans="27:29">
      <c r="AA1029" s="50">
        <v>577.6</v>
      </c>
      <c r="AB1029" s="51">
        <v>90.257000000000005</v>
      </c>
      <c r="AC1029" s="52">
        <f t="shared" si="547"/>
        <v>4.4519105838012989E-2</v>
      </c>
    </row>
    <row r="1030" spans="27:29">
      <c r="AA1030" s="50">
        <v>577.5</v>
      </c>
      <c r="AB1030" s="51">
        <v>90.242000000000004</v>
      </c>
      <c r="AC1030" s="52">
        <f t="shared" si="547"/>
        <v>4.4591288146430756E-2</v>
      </c>
    </row>
    <row r="1031" spans="27:29">
      <c r="AA1031" s="50">
        <v>577.4</v>
      </c>
      <c r="AB1031" s="51">
        <v>90.251999999999995</v>
      </c>
      <c r="AC1031" s="52">
        <f t="shared" si="547"/>
        <v>4.4543165274496227E-2</v>
      </c>
    </row>
    <row r="1032" spans="27:29">
      <c r="AA1032" s="50">
        <v>577.29999999999995</v>
      </c>
      <c r="AB1032" s="51">
        <v>90.206999999999994</v>
      </c>
      <c r="AC1032" s="52">
        <f t="shared" si="547"/>
        <v>4.4759760202881416E-2</v>
      </c>
    </row>
    <row r="1033" spans="27:29">
      <c r="AA1033" s="50">
        <v>577.20000000000005</v>
      </c>
      <c r="AB1033" s="51">
        <v>90.245999999999995</v>
      </c>
      <c r="AC1033" s="52">
        <f t="shared" si="547"/>
        <v>4.4572038357770079E-2</v>
      </c>
    </row>
    <row r="1034" spans="27:29">
      <c r="AA1034" s="50">
        <v>577.1</v>
      </c>
      <c r="AB1034" s="51">
        <v>90.292000000000002</v>
      </c>
      <c r="AC1034" s="52">
        <f t="shared" ref="AC1034:AC1097" si="548">-LOG(AB1034/100)</f>
        <v>4.4350727092553124E-2</v>
      </c>
    </row>
    <row r="1035" spans="27:29">
      <c r="AA1035" s="50">
        <v>577</v>
      </c>
      <c r="AB1035" s="51">
        <v>90.284000000000006</v>
      </c>
      <c r="AC1035" s="52">
        <f t="shared" si="548"/>
        <v>4.4389207907916159E-2</v>
      </c>
    </row>
    <row r="1036" spans="27:29">
      <c r="AA1036" s="50">
        <v>576.9</v>
      </c>
      <c r="AB1036" s="51">
        <v>90.269000000000005</v>
      </c>
      <c r="AC1036" s="52">
        <f t="shared" si="548"/>
        <v>4.4461368627965514E-2</v>
      </c>
    </row>
    <row r="1037" spans="27:29">
      <c r="AA1037" s="50">
        <v>576.79999999999995</v>
      </c>
      <c r="AB1037" s="51">
        <v>90.245000000000005</v>
      </c>
      <c r="AC1037" s="52">
        <f t="shared" si="548"/>
        <v>4.4576850724945181E-2</v>
      </c>
    </row>
    <row r="1038" spans="27:29">
      <c r="AA1038" s="50">
        <v>576.70000000000005</v>
      </c>
      <c r="AB1038" s="51">
        <v>90.269000000000005</v>
      </c>
      <c r="AC1038" s="52">
        <f t="shared" si="548"/>
        <v>4.4461368627965514E-2</v>
      </c>
    </row>
    <row r="1039" spans="27:29">
      <c r="AA1039" s="50">
        <v>576.6</v>
      </c>
      <c r="AB1039" s="51">
        <v>90.265000000000001</v>
      </c>
      <c r="AC1039" s="52">
        <f t="shared" si="548"/>
        <v>4.4480613511786886E-2</v>
      </c>
    </row>
    <row r="1040" spans="27:29">
      <c r="AA1040" s="50">
        <v>576.5</v>
      </c>
      <c r="AB1040" s="51">
        <v>90.295000000000002</v>
      </c>
      <c r="AC1040" s="52">
        <f t="shared" si="548"/>
        <v>4.4336297665785659E-2</v>
      </c>
    </row>
    <row r="1041" spans="27:29">
      <c r="AA1041" s="50">
        <v>576.4</v>
      </c>
      <c r="AB1041" s="51">
        <v>90.263999999999996</v>
      </c>
      <c r="AC1041" s="52">
        <f t="shared" si="548"/>
        <v>4.4485424865994862E-2</v>
      </c>
    </row>
    <row r="1042" spans="27:29">
      <c r="AA1042" s="50">
        <v>576.29999999999995</v>
      </c>
      <c r="AB1042" s="51">
        <v>90.26</v>
      </c>
      <c r="AC1042" s="52">
        <f t="shared" si="548"/>
        <v>4.4504670815872928E-2</v>
      </c>
    </row>
    <row r="1043" spans="27:29">
      <c r="AA1043" s="50">
        <v>576.20000000000005</v>
      </c>
      <c r="AB1043" s="51">
        <v>90.228999999999999</v>
      </c>
      <c r="AC1043" s="52">
        <f t="shared" si="548"/>
        <v>4.465385585287119E-2</v>
      </c>
    </row>
    <row r="1044" spans="27:29">
      <c r="AA1044" s="50">
        <v>576.1</v>
      </c>
      <c r="AB1044" s="51">
        <v>90.218999999999994</v>
      </c>
      <c r="AC1044" s="52">
        <f t="shared" si="548"/>
        <v>4.470199099234054E-2</v>
      </c>
    </row>
    <row r="1045" spans="27:29">
      <c r="AA1045" s="50">
        <v>576</v>
      </c>
      <c r="AB1045" s="51">
        <v>90.278000000000006</v>
      </c>
      <c r="AC1045" s="52">
        <f t="shared" si="548"/>
        <v>4.4418070757157764E-2</v>
      </c>
    </row>
    <row r="1046" spans="27:29">
      <c r="AA1046" s="50">
        <v>575.9</v>
      </c>
      <c r="AB1046" s="51">
        <v>90.314999999999998</v>
      </c>
      <c r="AC1046" s="52">
        <f t="shared" si="548"/>
        <v>4.4240113737170766E-2</v>
      </c>
    </row>
    <row r="1047" spans="27:29">
      <c r="AA1047" s="50">
        <v>575.79999999999995</v>
      </c>
      <c r="AB1047" s="51">
        <v>90.346000000000004</v>
      </c>
      <c r="AC1047" s="52">
        <f t="shared" si="548"/>
        <v>4.4091070733189415E-2</v>
      </c>
    </row>
    <row r="1048" spans="27:29">
      <c r="AA1048" s="50">
        <v>575.70000000000005</v>
      </c>
      <c r="AB1048" s="51">
        <v>90.287999999999997</v>
      </c>
      <c r="AC1048" s="52">
        <f t="shared" si="548"/>
        <v>4.43699670740339E-2</v>
      </c>
    </row>
    <row r="1049" spans="27:29">
      <c r="AA1049" s="50">
        <v>575.6</v>
      </c>
      <c r="AB1049" s="51">
        <v>90.295000000000002</v>
      </c>
      <c r="AC1049" s="52">
        <f t="shared" si="548"/>
        <v>4.4336297665785659E-2</v>
      </c>
    </row>
    <row r="1050" spans="27:29">
      <c r="AA1050" s="50">
        <v>575.5</v>
      </c>
      <c r="AB1050" s="51">
        <v>90.245999999999995</v>
      </c>
      <c r="AC1050" s="52">
        <f t="shared" si="548"/>
        <v>4.4572038357770079E-2</v>
      </c>
    </row>
    <row r="1051" spans="27:29">
      <c r="AA1051" s="50">
        <v>575.4</v>
      </c>
      <c r="AB1051" s="51">
        <v>90.278000000000006</v>
      </c>
      <c r="AC1051" s="52">
        <f t="shared" si="548"/>
        <v>4.4418070757157764E-2</v>
      </c>
    </row>
    <row r="1052" spans="27:29">
      <c r="AA1052" s="50">
        <v>575.29999999999995</v>
      </c>
      <c r="AB1052" s="51">
        <v>90.269000000000005</v>
      </c>
      <c r="AC1052" s="52">
        <f t="shared" si="548"/>
        <v>4.4461368627965514E-2</v>
      </c>
    </row>
    <row r="1053" spans="27:29">
      <c r="AA1053" s="50">
        <v>575.20000000000005</v>
      </c>
      <c r="AB1053" s="51">
        <v>90.337000000000003</v>
      </c>
      <c r="AC1053" s="52">
        <f t="shared" si="548"/>
        <v>4.4134336013712354E-2</v>
      </c>
    </row>
    <row r="1054" spans="27:29">
      <c r="AA1054" s="50">
        <v>575.1</v>
      </c>
      <c r="AB1054" s="51">
        <v>90.301000000000002</v>
      </c>
      <c r="AC1054" s="52">
        <f t="shared" si="548"/>
        <v>4.4307440250423456E-2</v>
      </c>
    </row>
    <row r="1055" spans="27:29">
      <c r="AA1055" s="50">
        <v>575</v>
      </c>
      <c r="AB1055" s="51">
        <v>90.253</v>
      </c>
      <c r="AC1055" s="52">
        <f t="shared" si="548"/>
        <v>4.4538353280569071E-2</v>
      </c>
    </row>
    <row r="1056" spans="27:29">
      <c r="AA1056" s="50">
        <v>574.9</v>
      </c>
      <c r="AB1056" s="51">
        <v>90.245999999999995</v>
      </c>
      <c r="AC1056" s="52">
        <f t="shared" si="548"/>
        <v>4.4572038357770079E-2</v>
      </c>
    </row>
    <row r="1057" spans="27:29">
      <c r="AA1057" s="50">
        <v>574.79999999999995</v>
      </c>
      <c r="AB1057" s="51">
        <v>90.247</v>
      </c>
      <c r="AC1057" s="52">
        <f t="shared" si="548"/>
        <v>4.4567226043919564E-2</v>
      </c>
    </row>
    <row r="1058" spans="27:29">
      <c r="AA1058" s="50">
        <v>574.70000000000005</v>
      </c>
      <c r="AB1058" s="51">
        <v>90.289000000000001</v>
      </c>
      <c r="AC1058" s="52">
        <f t="shared" si="548"/>
        <v>4.4365156998754034E-2</v>
      </c>
    </row>
    <row r="1059" spans="27:29">
      <c r="AA1059" s="50">
        <v>574.6</v>
      </c>
      <c r="AB1059" s="51">
        <v>90.325000000000003</v>
      </c>
      <c r="AC1059" s="52">
        <f t="shared" si="548"/>
        <v>4.419202975994016E-2</v>
      </c>
    </row>
    <row r="1060" spans="27:29">
      <c r="AA1060" s="50">
        <v>574.5</v>
      </c>
      <c r="AB1060" s="51">
        <v>90.28</v>
      </c>
      <c r="AC1060" s="52">
        <f t="shared" si="548"/>
        <v>4.4408449594275555E-2</v>
      </c>
    </row>
    <row r="1061" spans="27:29">
      <c r="AA1061" s="50">
        <v>574.4</v>
      </c>
      <c r="AB1061" s="51">
        <v>90.287000000000006</v>
      </c>
      <c r="AC1061" s="52">
        <f t="shared" si="548"/>
        <v>4.4374777202588853E-2</v>
      </c>
    </row>
    <row r="1062" spans="27:29">
      <c r="AA1062" s="50">
        <v>574.29999999999995</v>
      </c>
      <c r="AB1062" s="51">
        <v>90.263000000000005</v>
      </c>
      <c r="AC1062" s="52">
        <f t="shared" si="548"/>
        <v>4.4490236273506269E-2</v>
      </c>
    </row>
    <row r="1063" spans="27:29">
      <c r="AA1063" s="50">
        <v>574.20000000000005</v>
      </c>
      <c r="AB1063" s="51">
        <v>90.251000000000005</v>
      </c>
      <c r="AC1063" s="52">
        <f t="shared" si="548"/>
        <v>4.4547977321740935E-2</v>
      </c>
    </row>
    <row r="1064" spans="27:29">
      <c r="AA1064" s="50">
        <v>574.1</v>
      </c>
      <c r="AB1064" s="51">
        <v>90.245999999999995</v>
      </c>
      <c r="AC1064" s="52">
        <f t="shared" si="548"/>
        <v>4.4572038357770079E-2</v>
      </c>
    </row>
    <row r="1065" spans="27:29">
      <c r="AA1065" s="50">
        <v>574</v>
      </c>
      <c r="AB1065" s="51">
        <v>90.26</v>
      </c>
      <c r="AC1065" s="52">
        <f t="shared" si="548"/>
        <v>4.4504670815872928E-2</v>
      </c>
    </row>
    <row r="1066" spans="27:29">
      <c r="AA1066" s="50">
        <v>573.9</v>
      </c>
      <c r="AB1066" s="51">
        <v>90.304000000000002</v>
      </c>
      <c r="AC1066" s="52">
        <f t="shared" si="548"/>
        <v>4.4293012261764964E-2</v>
      </c>
    </row>
    <row r="1067" spans="27:29">
      <c r="AA1067" s="50">
        <v>573.79999999999995</v>
      </c>
      <c r="AB1067" s="51">
        <v>90.323999999999998</v>
      </c>
      <c r="AC1067" s="52">
        <f t="shared" si="548"/>
        <v>4.4196837918102236E-2</v>
      </c>
    </row>
    <row r="1068" spans="27:29">
      <c r="AA1068" s="50">
        <v>573.70000000000005</v>
      </c>
      <c r="AB1068" s="51">
        <v>90.298000000000002</v>
      </c>
      <c r="AC1068" s="52">
        <f t="shared" si="548"/>
        <v>4.432186871841972E-2</v>
      </c>
    </row>
    <row r="1069" spans="27:29">
      <c r="AA1069" s="50">
        <v>573.6</v>
      </c>
      <c r="AB1069" s="51">
        <v>90.265000000000001</v>
      </c>
      <c r="AC1069" s="52">
        <f t="shared" si="548"/>
        <v>4.4480613511786886E-2</v>
      </c>
    </row>
    <row r="1070" spans="27:29">
      <c r="AA1070" s="50">
        <v>573.5</v>
      </c>
      <c r="AB1070" s="51">
        <v>90.254999999999995</v>
      </c>
      <c r="AC1070" s="52">
        <f t="shared" si="548"/>
        <v>4.4528729452662959E-2</v>
      </c>
    </row>
    <row r="1071" spans="27:29">
      <c r="AA1071" s="50">
        <v>573.4</v>
      </c>
      <c r="AB1071" s="51">
        <v>90.296000000000006</v>
      </c>
      <c r="AC1071" s="52">
        <f t="shared" si="548"/>
        <v>4.4331487963398378E-2</v>
      </c>
    </row>
    <row r="1072" spans="27:29">
      <c r="AA1072" s="50">
        <v>573.29999999999995</v>
      </c>
      <c r="AB1072" s="51">
        <v>90.289000000000001</v>
      </c>
      <c r="AC1072" s="52">
        <f t="shared" si="548"/>
        <v>4.4365156998754034E-2</v>
      </c>
    </row>
    <row r="1073" spans="27:29">
      <c r="AA1073" s="50">
        <v>573.20000000000005</v>
      </c>
      <c r="AB1073" s="51">
        <v>90.278000000000006</v>
      </c>
      <c r="AC1073" s="52">
        <f t="shared" si="548"/>
        <v>4.4418070757157764E-2</v>
      </c>
    </row>
    <row r="1074" spans="27:29">
      <c r="AA1074" s="50">
        <v>573.1</v>
      </c>
      <c r="AB1074" s="51">
        <v>90.302000000000007</v>
      </c>
      <c r="AC1074" s="52">
        <f t="shared" si="548"/>
        <v>4.4302630867612422E-2</v>
      </c>
    </row>
    <row r="1075" spans="27:29">
      <c r="AA1075" s="50">
        <v>573</v>
      </c>
      <c r="AB1075" s="51">
        <v>90.201999999999998</v>
      </c>
      <c r="AC1075" s="52">
        <f t="shared" si="548"/>
        <v>4.4783832975415737E-2</v>
      </c>
    </row>
    <row r="1076" spans="27:29">
      <c r="AA1076" s="50">
        <v>572.9</v>
      </c>
      <c r="AB1076" s="51">
        <v>90.242999999999995</v>
      </c>
      <c r="AC1076" s="52">
        <f t="shared" si="548"/>
        <v>4.4586475619274424E-2</v>
      </c>
    </row>
    <row r="1077" spans="27:29">
      <c r="AA1077" s="50">
        <v>572.79999999999995</v>
      </c>
      <c r="AB1077" s="51">
        <v>90.257999999999996</v>
      </c>
      <c r="AC1077" s="52">
        <f t="shared" si="548"/>
        <v>4.4514294110656251E-2</v>
      </c>
    </row>
    <row r="1078" spans="27:29">
      <c r="AA1078" s="50">
        <v>572.70000000000005</v>
      </c>
      <c r="AB1078" s="51">
        <v>90.307000000000002</v>
      </c>
      <c r="AC1078" s="52">
        <f t="shared" si="548"/>
        <v>4.4278584752412503E-2</v>
      </c>
    </row>
    <row r="1079" spans="27:29">
      <c r="AA1079" s="50">
        <v>572.6</v>
      </c>
      <c r="AB1079" s="51">
        <v>90.323999999999998</v>
      </c>
      <c r="AC1079" s="52">
        <f t="shared" si="548"/>
        <v>4.4196837918102236E-2</v>
      </c>
    </row>
    <row r="1080" spans="27:29">
      <c r="AA1080" s="50">
        <v>572.5</v>
      </c>
      <c r="AB1080" s="51">
        <v>90.343000000000004</v>
      </c>
      <c r="AC1080" s="52">
        <f t="shared" si="548"/>
        <v>4.4105492014460866E-2</v>
      </c>
    </row>
    <row r="1081" spans="27:29">
      <c r="AA1081" s="50">
        <v>572.4</v>
      </c>
      <c r="AB1081" s="51">
        <v>90.340999999999994</v>
      </c>
      <c r="AC1081" s="52">
        <f t="shared" si="548"/>
        <v>4.4115106468024516E-2</v>
      </c>
    </row>
    <row r="1082" spans="27:29">
      <c r="AA1082" s="50">
        <v>572.29999999999995</v>
      </c>
      <c r="AB1082" s="51">
        <v>90.295000000000002</v>
      </c>
      <c r="AC1082" s="52">
        <f t="shared" si="548"/>
        <v>4.4336297665785659E-2</v>
      </c>
    </row>
    <row r="1083" spans="27:29">
      <c r="AA1083" s="50">
        <v>572.20000000000005</v>
      </c>
      <c r="AB1083" s="51">
        <v>90.268000000000001</v>
      </c>
      <c r="AC1083" s="52">
        <f t="shared" si="548"/>
        <v>4.4466179768971631E-2</v>
      </c>
    </row>
    <row r="1084" spans="27:29">
      <c r="AA1084" s="50">
        <v>572.1</v>
      </c>
      <c r="AB1084" s="51">
        <v>90.283000000000001</v>
      </c>
      <c r="AC1084" s="52">
        <f t="shared" si="548"/>
        <v>4.4394018249583361E-2</v>
      </c>
    </row>
    <row r="1085" spans="27:29">
      <c r="AA1085" s="50">
        <v>572</v>
      </c>
      <c r="AB1085" s="51">
        <v>90.313999999999993</v>
      </c>
      <c r="AC1085" s="52">
        <f t="shared" si="548"/>
        <v>4.4244922427712274E-2</v>
      </c>
    </row>
    <row r="1086" spans="27:29">
      <c r="AA1086" s="50">
        <v>571.9</v>
      </c>
      <c r="AB1086" s="51">
        <v>90.308999999999997</v>
      </c>
      <c r="AC1086" s="52">
        <f t="shared" si="548"/>
        <v>4.4268966679109609E-2</v>
      </c>
    </row>
    <row r="1087" spans="27:29">
      <c r="AA1087" s="50">
        <v>571.79999999999995</v>
      </c>
      <c r="AB1087" s="51">
        <v>90.340999999999994</v>
      </c>
      <c r="AC1087" s="52">
        <f t="shared" si="548"/>
        <v>4.4115106468024516E-2</v>
      </c>
    </row>
    <row r="1088" spans="27:29">
      <c r="AA1088" s="50">
        <v>571.70000000000005</v>
      </c>
      <c r="AB1088" s="51">
        <v>90.296000000000006</v>
      </c>
      <c r="AC1088" s="52">
        <f t="shared" si="548"/>
        <v>4.4331487963398378E-2</v>
      </c>
    </row>
    <row r="1089" spans="27:29">
      <c r="AA1089" s="50">
        <v>571.6</v>
      </c>
      <c r="AB1089" s="51">
        <v>90.292000000000002</v>
      </c>
      <c r="AC1089" s="52">
        <f t="shared" si="548"/>
        <v>4.4350727092553124E-2</v>
      </c>
    </row>
    <row r="1090" spans="27:29">
      <c r="AA1090" s="50">
        <v>571.5</v>
      </c>
      <c r="AB1090" s="51">
        <v>90.322000000000003</v>
      </c>
      <c r="AC1090" s="52">
        <f t="shared" si="548"/>
        <v>4.4206454394125377E-2</v>
      </c>
    </row>
    <row r="1091" spans="27:29">
      <c r="AA1091" s="50">
        <v>571.4</v>
      </c>
      <c r="AB1091" s="51">
        <v>90.353999999999999</v>
      </c>
      <c r="AC1091" s="52">
        <f t="shared" si="548"/>
        <v>4.4052616324141328E-2</v>
      </c>
    </row>
    <row r="1092" spans="27:29">
      <c r="AA1092" s="50">
        <v>571.29999999999995</v>
      </c>
      <c r="AB1092" s="51">
        <v>90.358000000000004</v>
      </c>
      <c r="AC1092" s="52">
        <f t="shared" si="548"/>
        <v>4.403339039639001E-2</v>
      </c>
    </row>
    <row r="1093" spans="27:29">
      <c r="AA1093" s="50">
        <v>571.20000000000005</v>
      </c>
      <c r="AB1093" s="51">
        <v>90.353999999999999</v>
      </c>
      <c r="AC1093" s="52">
        <f t="shared" si="548"/>
        <v>4.4052616324141328E-2</v>
      </c>
    </row>
    <row r="1094" spans="27:29">
      <c r="AA1094" s="50">
        <v>571.1</v>
      </c>
      <c r="AB1094" s="51">
        <v>90.353999999999999</v>
      </c>
      <c r="AC1094" s="52">
        <f t="shared" si="548"/>
        <v>4.4052616324141328E-2</v>
      </c>
    </row>
    <row r="1095" spans="27:29">
      <c r="AA1095" s="50">
        <v>571</v>
      </c>
      <c r="AB1095" s="51">
        <v>90.287999999999997</v>
      </c>
      <c r="AC1095" s="52">
        <f t="shared" si="548"/>
        <v>4.43699670740339E-2</v>
      </c>
    </row>
    <row r="1096" spans="27:29">
      <c r="AA1096" s="50">
        <v>570.9</v>
      </c>
      <c r="AB1096" s="51">
        <v>90.284999999999997</v>
      </c>
      <c r="AC1096" s="52">
        <f t="shared" si="548"/>
        <v>4.4384397619528886E-2</v>
      </c>
    </row>
    <row r="1097" spans="27:29">
      <c r="AA1097" s="50">
        <v>570.79999999999995</v>
      </c>
      <c r="AB1097" s="51">
        <v>90.271000000000001</v>
      </c>
      <c r="AC1097" s="52">
        <f t="shared" si="548"/>
        <v>4.445174650584479E-2</v>
      </c>
    </row>
    <row r="1098" spans="27:29">
      <c r="AA1098" s="50">
        <v>570.70000000000005</v>
      </c>
      <c r="AB1098" s="51">
        <v>90.268000000000001</v>
      </c>
      <c r="AC1098" s="52">
        <f t="shared" ref="AC1098:AC1161" si="549">-LOG(AB1098/100)</f>
        <v>4.4466179768971631E-2</v>
      </c>
    </row>
    <row r="1099" spans="27:29">
      <c r="AA1099" s="50">
        <v>570.6</v>
      </c>
      <c r="AB1099" s="51">
        <v>90.3</v>
      </c>
      <c r="AC1099" s="52">
        <f t="shared" si="549"/>
        <v>4.4312249686494193E-2</v>
      </c>
    </row>
    <row r="1100" spans="27:29">
      <c r="AA1100" s="50">
        <v>570.5</v>
      </c>
      <c r="AB1100" s="51">
        <v>90.305000000000007</v>
      </c>
      <c r="AC1100" s="52">
        <f t="shared" si="549"/>
        <v>4.428820303872618E-2</v>
      </c>
    </row>
    <row r="1101" spans="27:29">
      <c r="AA1101" s="50">
        <v>570.4</v>
      </c>
      <c r="AB1101" s="51">
        <v>90.316000000000003</v>
      </c>
      <c r="AC1101" s="52">
        <f t="shared" si="549"/>
        <v>4.4235305099872516E-2</v>
      </c>
    </row>
    <row r="1102" spans="27:29">
      <c r="AA1102" s="50">
        <v>570.29999999999995</v>
      </c>
      <c r="AB1102" s="51">
        <v>90.302999999999997</v>
      </c>
      <c r="AC1102" s="52">
        <f t="shared" si="549"/>
        <v>4.4297821538060021E-2</v>
      </c>
    </row>
    <row r="1103" spans="27:29">
      <c r="AA1103" s="50">
        <v>570.20000000000005</v>
      </c>
      <c r="AB1103" s="51">
        <v>90.299000000000007</v>
      </c>
      <c r="AC1103" s="52">
        <f t="shared" si="549"/>
        <v>4.4317059175825867E-2</v>
      </c>
    </row>
    <row r="1104" spans="27:29">
      <c r="AA1104" s="50">
        <v>570.1</v>
      </c>
      <c r="AB1104" s="51">
        <v>90.349000000000004</v>
      </c>
      <c r="AC1104" s="52">
        <f t="shared" si="549"/>
        <v>4.4076649930778408E-2</v>
      </c>
    </row>
    <row r="1105" spans="27:29">
      <c r="AA1105" s="50">
        <v>570</v>
      </c>
      <c r="AB1105" s="51">
        <v>90.328999999999994</v>
      </c>
      <c r="AC1105" s="52">
        <f t="shared" si="549"/>
        <v>4.4172797659594816E-2</v>
      </c>
    </row>
    <row r="1106" spans="27:29">
      <c r="AA1106" s="50">
        <v>569.9</v>
      </c>
      <c r="AB1106" s="51">
        <v>90.31</v>
      </c>
      <c r="AC1106" s="52">
        <f t="shared" si="549"/>
        <v>4.4264157722334184E-2</v>
      </c>
    </row>
    <row r="1107" spans="27:29">
      <c r="AA1107" s="50">
        <v>569.79999999999995</v>
      </c>
      <c r="AB1107" s="51">
        <v>90.311999999999998</v>
      </c>
      <c r="AC1107" s="52">
        <f t="shared" si="549"/>
        <v>4.4254539968529683E-2</v>
      </c>
    </row>
    <row r="1108" spans="27:29">
      <c r="AA1108" s="50">
        <v>569.70000000000005</v>
      </c>
      <c r="AB1108" s="51">
        <v>90.350999999999999</v>
      </c>
      <c r="AC1108" s="52">
        <f t="shared" si="549"/>
        <v>4.4067036328522262E-2</v>
      </c>
    </row>
    <row r="1109" spans="27:29">
      <c r="AA1109" s="50">
        <v>569.6</v>
      </c>
      <c r="AB1109" s="51">
        <v>90.272000000000006</v>
      </c>
      <c r="AC1109" s="52">
        <f t="shared" si="549"/>
        <v>4.4446935524727706E-2</v>
      </c>
    </row>
    <row r="1110" spans="27:29">
      <c r="AA1110" s="50">
        <v>569.5</v>
      </c>
      <c r="AB1110" s="51">
        <v>90.298000000000002</v>
      </c>
      <c r="AC1110" s="52">
        <f t="shared" si="549"/>
        <v>4.432186871841972E-2</v>
      </c>
    </row>
    <row r="1111" spans="27:29">
      <c r="AA1111" s="50">
        <v>569.4</v>
      </c>
      <c r="AB1111" s="51">
        <v>90.259</v>
      </c>
      <c r="AC1111" s="52">
        <f t="shared" si="549"/>
        <v>4.4509482436609925E-2</v>
      </c>
    </row>
    <row r="1112" spans="27:29">
      <c r="AA1112" s="50">
        <v>569.29999999999995</v>
      </c>
      <c r="AB1112" s="51">
        <v>90.268000000000001</v>
      </c>
      <c r="AC1112" s="52">
        <f t="shared" si="549"/>
        <v>4.4466179768971631E-2</v>
      </c>
    </row>
    <row r="1113" spans="27:29">
      <c r="AA1113" s="50">
        <v>569.20000000000005</v>
      </c>
      <c r="AB1113" s="51">
        <v>90.305000000000007</v>
      </c>
      <c r="AC1113" s="52">
        <f t="shared" si="549"/>
        <v>4.428820303872618E-2</v>
      </c>
    </row>
    <row r="1114" spans="27:29">
      <c r="AA1114" s="50">
        <v>569.1</v>
      </c>
      <c r="AB1114" s="51">
        <v>90.281000000000006</v>
      </c>
      <c r="AC1114" s="52">
        <f t="shared" si="549"/>
        <v>4.4403639092761821E-2</v>
      </c>
    </row>
    <row r="1115" spans="27:29">
      <c r="AA1115" s="50">
        <v>569</v>
      </c>
      <c r="AB1115" s="51">
        <v>90.325999999999993</v>
      </c>
      <c r="AC1115" s="52">
        <f t="shared" si="549"/>
        <v>4.4187221655009594E-2</v>
      </c>
    </row>
    <row r="1116" spans="27:29">
      <c r="AA1116" s="50">
        <v>568.9</v>
      </c>
      <c r="AB1116" s="51">
        <v>90.269000000000005</v>
      </c>
      <c r="AC1116" s="52">
        <f t="shared" si="549"/>
        <v>4.4461368627965514E-2</v>
      </c>
    </row>
    <row r="1117" spans="27:29">
      <c r="AA1117" s="50">
        <v>568.79999999999995</v>
      </c>
      <c r="AB1117" s="51">
        <v>90.287000000000006</v>
      </c>
      <c r="AC1117" s="52">
        <f t="shared" si="549"/>
        <v>4.4374777202588853E-2</v>
      </c>
    </row>
    <row r="1118" spans="27:29">
      <c r="AA1118" s="50">
        <v>568.70000000000005</v>
      </c>
      <c r="AB1118" s="51">
        <v>90.271000000000001</v>
      </c>
      <c r="AC1118" s="52">
        <f t="shared" si="549"/>
        <v>4.445174650584479E-2</v>
      </c>
    </row>
    <row r="1119" spans="27:29">
      <c r="AA1119" s="50">
        <v>568.6</v>
      </c>
      <c r="AB1119" s="51">
        <v>90.203999999999994</v>
      </c>
      <c r="AC1119" s="52">
        <f t="shared" si="549"/>
        <v>4.4774203706280088E-2</v>
      </c>
    </row>
    <row r="1120" spans="27:29">
      <c r="AA1120" s="50">
        <v>568.5</v>
      </c>
      <c r="AB1120" s="51">
        <v>90.271000000000001</v>
      </c>
      <c r="AC1120" s="52">
        <f t="shared" si="549"/>
        <v>4.445174650584479E-2</v>
      </c>
    </row>
    <row r="1121" spans="27:29">
      <c r="AA1121" s="50">
        <v>568.4</v>
      </c>
      <c r="AB1121" s="51">
        <v>90.287000000000006</v>
      </c>
      <c r="AC1121" s="52">
        <f t="shared" si="549"/>
        <v>4.4374777202588853E-2</v>
      </c>
    </row>
    <row r="1122" spans="27:29">
      <c r="AA1122" s="50">
        <v>568.29999999999995</v>
      </c>
      <c r="AB1122" s="51">
        <v>90.325999999999993</v>
      </c>
      <c r="AC1122" s="52">
        <f t="shared" si="549"/>
        <v>4.4187221655009594E-2</v>
      </c>
    </row>
    <row r="1123" spans="27:29">
      <c r="AA1123" s="50">
        <v>568.20000000000005</v>
      </c>
      <c r="AB1123" s="51">
        <v>90.331000000000003</v>
      </c>
      <c r="AC1123" s="52">
        <f t="shared" si="549"/>
        <v>4.4163181928787251E-2</v>
      </c>
    </row>
    <row r="1124" spans="27:29">
      <c r="AA1124" s="50">
        <v>568.1</v>
      </c>
      <c r="AB1124" s="51">
        <v>90.281999999999996</v>
      </c>
      <c r="AC1124" s="52">
        <f t="shared" si="549"/>
        <v>4.4398828644531554E-2</v>
      </c>
    </row>
    <row r="1125" spans="27:29">
      <c r="AA1125" s="50">
        <v>568</v>
      </c>
      <c r="AB1125" s="51">
        <v>90.302999999999997</v>
      </c>
      <c r="AC1125" s="52">
        <f t="shared" si="549"/>
        <v>4.4297821538060021E-2</v>
      </c>
    </row>
    <row r="1126" spans="27:29">
      <c r="AA1126" s="50">
        <v>567.9</v>
      </c>
      <c r="AB1126" s="51">
        <v>90.305000000000007</v>
      </c>
      <c r="AC1126" s="52">
        <f t="shared" si="549"/>
        <v>4.428820303872618E-2</v>
      </c>
    </row>
    <row r="1127" spans="27:29">
      <c r="AA1127" s="50">
        <v>567.79999999999995</v>
      </c>
      <c r="AB1127" s="51">
        <v>90.317999999999998</v>
      </c>
      <c r="AC1127" s="52">
        <f t="shared" si="549"/>
        <v>4.4225687985001136E-2</v>
      </c>
    </row>
    <row r="1128" spans="27:29">
      <c r="AA1128" s="50">
        <v>567.70000000000005</v>
      </c>
      <c r="AB1128" s="51">
        <v>90.251000000000005</v>
      </c>
      <c r="AC1128" s="52">
        <f t="shared" si="549"/>
        <v>4.4547977321740935E-2</v>
      </c>
    </row>
    <row r="1129" spans="27:29">
      <c r="AA1129" s="50">
        <v>567.6</v>
      </c>
      <c r="AB1129" s="51">
        <v>90.272999999999996</v>
      </c>
      <c r="AC1129" s="52">
        <f t="shared" si="549"/>
        <v>4.444212459690472E-2</v>
      </c>
    </row>
    <row r="1130" spans="27:29">
      <c r="AA1130" s="50">
        <v>567.5</v>
      </c>
      <c r="AB1130" s="51">
        <v>90.290999999999997</v>
      </c>
      <c r="AC1130" s="52">
        <f t="shared" si="549"/>
        <v>4.4355537008014832E-2</v>
      </c>
    </row>
    <row r="1131" spans="27:29">
      <c r="AA1131" s="50">
        <v>567.4</v>
      </c>
      <c r="AB1131" s="51">
        <v>90.271000000000001</v>
      </c>
      <c r="AC1131" s="52">
        <f t="shared" si="549"/>
        <v>4.445174650584479E-2</v>
      </c>
    </row>
    <row r="1132" spans="27:29">
      <c r="AA1132" s="50">
        <v>567.29999999999995</v>
      </c>
      <c r="AB1132" s="51">
        <v>90.283000000000001</v>
      </c>
      <c r="AC1132" s="52">
        <f t="shared" si="549"/>
        <v>4.4394018249583361E-2</v>
      </c>
    </row>
    <row r="1133" spans="27:29">
      <c r="AA1133" s="50">
        <v>567.20000000000005</v>
      </c>
      <c r="AB1133" s="51">
        <v>90.248999999999995</v>
      </c>
      <c r="AC1133" s="52">
        <f t="shared" si="549"/>
        <v>4.4557601576188002E-2</v>
      </c>
    </row>
    <row r="1134" spans="27:29">
      <c r="AA1134" s="50">
        <v>567.1</v>
      </c>
      <c r="AB1134" s="51">
        <v>90.278999999999996</v>
      </c>
      <c r="AC1134" s="52">
        <f t="shared" si="549"/>
        <v>4.4413260149073826E-2</v>
      </c>
    </row>
    <row r="1135" spans="27:29">
      <c r="AA1135" s="50">
        <v>567</v>
      </c>
      <c r="AB1135" s="51">
        <v>90.278999999999996</v>
      </c>
      <c r="AC1135" s="52">
        <f t="shared" si="549"/>
        <v>4.4413260149073826E-2</v>
      </c>
    </row>
    <row r="1136" spans="27:29">
      <c r="AA1136" s="50">
        <v>566.9</v>
      </c>
      <c r="AB1136" s="51">
        <v>90.241</v>
      </c>
      <c r="AC1136" s="52">
        <f t="shared" si="549"/>
        <v>4.459610072691652E-2</v>
      </c>
    </row>
    <row r="1137" spans="27:29">
      <c r="AA1137" s="50">
        <v>566.79999999999995</v>
      </c>
      <c r="AB1137" s="51">
        <v>90.265000000000001</v>
      </c>
      <c r="AC1137" s="52">
        <f t="shared" si="549"/>
        <v>4.4480613511786886E-2</v>
      </c>
    </row>
    <row r="1138" spans="27:29">
      <c r="AA1138" s="50">
        <v>566.70000000000005</v>
      </c>
      <c r="AB1138" s="51">
        <v>90.254000000000005</v>
      </c>
      <c r="AC1138" s="52">
        <f t="shared" si="549"/>
        <v>4.4533541339958398E-2</v>
      </c>
    </row>
    <row r="1139" spans="27:29">
      <c r="AA1139" s="50">
        <v>566.6</v>
      </c>
      <c r="AB1139" s="51">
        <v>90.248999999999995</v>
      </c>
      <c r="AC1139" s="52">
        <f t="shared" si="549"/>
        <v>4.4557601576188002E-2</v>
      </c>
    </row>
    <row r="1140" spans="27:29">
      <c r="AA1140" s="50">
        <v>566.5</v>
      </c>
      <c r="AB1140" s="51">
        <v>90.265000000000001</v>
      </c>
      <c r="AC1140" s="52">
        <f t="shared" si="549"/>
        <v>4.4480613511786886E-2</v>
      </c>
    </row>
    <row r="1141" spans="27:29">
      <c r="AA1141" s="50">
        <v>566.4</v>
      </c>
      <c r="AB1141" s="51">
        <v>90.242999999999995</v>
      </c>
      <c r="AC1141" s="52">
        <f t="shared" si="549"/>
        <v>4.4586475619274424E-2</v>
      </c>
    </row>
    <row r="1142" spans="27:29">
      <c r="AA1142" s="50">
        <v>566.29999999999995</v>
      </c>
      <c r="AB1142" s="51">
        <v>90.239000000000004</v>
      </c>
      <c r="AC1142" s="52">
        <f t="shared" si="549"/>
        <v>4.4605726047881086E-2</v>
      </c>
    </row>
    <row r="1143" spans="27:29">
      <c r="AA1143" s="50">
        <v>566.20000000000005</v>
      </c>
      <c r="AB1143" s="51">
        <v>90.248000000000005</v>
      </c>
      <c r="AC1143" s="52">
        <f t="shared" si="549"/>
        <v>4.4562413783392561E-2</v>
      </c>
    </row>
    <row r="1144" spans="27:29">
      <c r="AA1144" s="50">
        <v>566.1</v>
      </c>
      <c r="AB1144" s="51">
        <v>90.245999999999995</v>
      </c>
      <c r="AC1144" s="52">
        <f t="shared" si="549"/>
        <v>4.4572038357770079E-2</v>
      </c>
    </row>
    <row r="1145" spans="27:29">
      <c r="AA1145" s="50">
        <v>566</v>
      </c>
      <c r="AB1145" s="51">
        <v>90.242999999999995</v>
      </c>
      <c r="AC1145" s="52">
        <f t="shared" si="549"/>
        <v>4.4586475619274424E-2</v>
      </c>
    </row>
    <row r="1146" spans="27:29">
      <c r="AA1146" s="50">
        <v>565.9</v>
      </c>
      <c r="AB1146" s="51">
        <v>90.241</v>
      </c>
      <c r="AC1146" s="52">
        <f t="shared" si="549"/>
        <v>4.459610072691652E-2</v>
      </c>
    </row>
    <row r="1147" spans="27:29">
      <c r="AA1147" s="50">
        <v>565.79999999999995</v>
      </c>
      <c r="AB1147" s="51">
        <v>90.31</v>
      </c>
      <c r="AC1147" s="52">
        <f t="shared" si="549"/>
        <v>4.4264157722334184E-2</v>
      </c>
    </row>
    <row r="1148" spans="27:29">
      <c r="AA1148" s="50">
        <v>565.70000000000005</v>
      </c>
      <c r="AB1148" s="51">
        <v>90.311999999999998</v>
      </c>
      <c r="AC1148" s="52">
        <f t="shared" si="549"/>
        <v>4.4254539968529683E-2</v>
      </c>
    </row>
    <row r="1149" spans="27:29">
      <c r="AA1149" s="50">
        <v>565.6</v>
      </c>
      <c r="AB1149" s="51">
        <v>90.281999999999996</v>
      </c>
      <c r="AC1149" s="52">
        <f t="shared" si="549"/>
        <v>4.4398828644531554E-2</v>
      </c>
    </row>
    <row r="1150" spans="27:29">
      <c r="AA1150" s="50">
        <v>565.5</v>
      </c>
      <c r="AB1150" s="51">
        <v>90.227999999999994</v>
      </c>
      <c r="AC1150" s="52">
        <f t="shared" si="549"/>
        <v>4.4658669126747083E-2</v>
      </c>
    </row>
    <row r="1151" spans="27:29">
      <c r="AA1151" s="50">
        <v>565.4</v>
      </c>
      <c r="AB1151" s="51">
        <v>90.204999999999998</v>
      </c>
      <c r="AC1151" s="52">
        <f t="shared" si="549"/>
        <v>4.4769389151774377E-2</v>
      </c>
    </row>
    <row r="1152" spans="27:29">
      <c r="AA1152" s="50">
        <v>565.29999999999995</v>
      </c>
      <c r="AB1152" s="51">
        <v>90.19</v>
      </c>
      <c r="AC1152" s="52">
        <f t="shared" si="549"/>
        <v>4.4841613074206442E-2</v>
      </c>
    </row>
    <row r="1153" spans="27:29">
      <c r="AA1153" s="50">
        <v>565.20000000000005</v>
      </c>
      <c r="AB1153" s="51">
        <v>90.227999999999994</v>
      </c>
      <c r="AC1153" s="52">
        <f t="shared" si="549"/>
        <v>4.4658669126747083E-2</v>
      </c>
    </row>
    <row r="1154" spans="27:29">
      <c r="AA1154" s="50">
        <v>565.1</v>
      </c>
      <c r="AB1154" s="51">
        <v>90.253</v>
      </c>
      <c r="AC1154" s="52">
        <f t="shared" si="549"/>
        <v>4.4538353280569071E-2</v>
      </c>
    </row>
    <row r="1155" spans="27:29">
      <c r="AA1155" s="50">
        <v>565</v>
      </c>
      <c r="AB1155" s="51">
        <v>90.242000000000004</v>
      </c>
      <c r="AC1155" s="52">
        <f t="shared" si="549"/>
        <v>4.4591288146430756E-2</v>
      </c>
    </row>
    <row r="1156" spans="27:29">
      <c r="AA1156" s="50">
        <v>564.9</v>
      </c>
      <c r="AB1156" s="51">
        <v>90.225999999999999</v>
      </c>
      <c r="AC1156" s="52">
        <f t="shared" si="549"/>
        <v>4.4668295834537908E-2</v>
      </c>
    </row>
    <row r="1157" spans="27:29">
      <c r="AA1157" s="50">
        <v>564.79999999999995</v>
      </c>
      <c r="AB1157" s="51">
        <v>90.185000000000002</v>
      </c>
      <c r="AC1157" s="52">
        <f t="shared" si="549"/>
        <v>4.486569038436658E-2</v>
      </c>
    </row>
    <row r="1158" spans="27:29">
      <c r="AA1158" s="50">
        <v>564.70000000000005</v>
      </c>
      <c r="AB1158" s="51">
        <v>90.287000000000006</v>
      </c>
      <c r="AC1158" s="52">
        <f t="shared" si="549"/>
        <v>4.4374777202588853E-2</v>
      </c>
    </row>
    <row r="1159" spans="27:29">
      <c r="AA1159" s="50">
        <v>564.6</v>
      </c>
      <c r="AB1159" s="51">
        <v>90.26</v>
      </c>
      <c r="AC1159" s="52">
        <f t="shared" si="549"/>
        <v>4.4504670815872928E-2</v>
      </c>
    </row>
    <row r="1160" spans="27:29">
      <c r="AA1160" s="50">
        <v>564.5</v>
      </c>
      <c r="AB1160" s="51">
        <v>90.245999999999995</v>
      </c>
      <c r="AC1160" s="52">
        <f t="shared" si="549"/>
        <v>4.4572038357770079E-2</v>
      </c>
    </row>
    <row r="1161" spans="27:29">
      <c r="AA1161" s="50">
        <v>564.4</v>
      </c>
      <c r="AB1161" s="51">
        <v>90.244</v>
      </c>
      <c r="AC1161" s="52">
        <f t="shared" si="549"/>
        <v>4.4581663145446274E-2</v>
      </c>
    </row>
    <row r="1162" spans="27:29">
      <c r="AA1162" s="50">
        <v>564.29999999999995</v>
      </c>
      <c r="AB1162" s="51">
        <v>90.245000000000005</v>
      </c>
      <c r="AC1162" s="52">
        <f t="shared" ref="AC1162:AC1225" si="550">-LOG(AB1162/100)</f>
        <v>4.4576850724945181E-2</v>
      </c>
    </row>
    <row r="1163" spans="27:29">
      <c r="AA1163" s="50">
        <v>564.20000000000005</v>
      </c>
      <c r="AB1163" s="51">
        <v>90.198999999999998</v>
      </c>
      <c r="AC1163" s="52">
        <f t="shared" si="550"/>
        <v>4.4798277279447629E-2</v>
      </c>
    </row>
    <row r="1164" spans="27:29">
      <c r="AA1164" s="50">
        <v>564.1</v>
      </c>
      <c r="AB1164" s="51">
        <v>90.141999999999996</v>
      </c>
      <c r="AC1164" s="52">
        <f t="shared" si="550"/>
        <v>4.5072810372785349E-2</v>
      </c>
    </row>
    <row r="1165" spans="27:29">
      <c r="AA1165" s="50">
        <v>564</v>
      </c>
      <c r="AB1165" s="51">
        <v>90.167000000000002</v>
      </c>
      <c r="AC1165" s="52">
        <f t="shared" si="550"/>
        <v>4.4952379755155016E-2</v>
      </c>
    </row>
    <row r="1166" spans="27:29">
      <c r="AA1166" s="50">
        <v>563.9</v>
      </c>
      <c r="AB1166" s="51">
        <v>90.209000000000003</v>
      </c>
      <c r="AC1166" s="52">
        <f t="shared" si="550"/>
        <v>4.4750131467471609E-2</v>
      </c>
    </row>
    <row r="1167" spans="27:29">
      <c r="AA1167" s="50">
        <v>563.79999999999995</v>
      </c>
      <c r="AB1167" s="51">
        <v>90.238</v>
      </c>
      <c r="AC1167" s="52">
        <f t="shared" si="550"/>
        <v>4.4610538788362263E-2</v>
      </c>
    </row>
    <row r="1168" spans="27:29">
      <c r="AA1168" s="50">
        <v>563.70000000000005</v>
      </c>
      <c r="AB1168" s="51">
        <v>90.188000000000002</v>
      </c>
      <c r="AC1168" s="52">
        <f t="shared" si="550"/>
        <v>4.4851243838089382E-2</v>
      </c>
    </row>
    <row r="1169" spans="27:29">
      <c r="AA1169" s="50">
        <v>563.6</v>
      </c>
      <c r="AB1169" s="51">
        <v>90.186999999999998</v>
      </c>
      <c r="AC1169" s="52">
        <f t="shared" si="550"/>
        <v>4.4856059300120266E-2</v>
      </c>
    </row>
    <row r="1170" spans="27:29">
      <c r="AA1170" s="50">
        <v>563.5</v>
      </c>
      <c r="AB1170" s="51">
        <v>90.177999999999997</v>
      </c>
      <c r="AC1170" s="52">
        <f t="shared" si="550"/>
        <v>4.4899400861292002E-2</v>
      </c>
    </row>
    <row r="1171" spans="27:29">
      <c r="AA1171" s="50">
        <v>563.4</v>
      </c>
      <c r="AB1171" s="51">
        <v>90.222999999999999</v>
      </c>
      <c r="AC1171" s="52">
        <f t="shared" si="550"/>
        <v>4.468273629633962E-2</v>
      </c>
    </row>
    <row r="1172" spans="27:29">
      <c r="AA1172" s="50">
        <v>563.29999999999995</v>
      </c>
      <c r="AB1172" s="51">
        <v>90.271000000000001</v>
      </c>
      <c r="AC1172" s="52">
        <f t="shared" si="550"/>
        <v>4.445174650584479E-2</v>
      </c>
    </row>
    <row r="1173" spans="27:29">
      <c r="AA1173" s="50">
        <v>563.20000000000005</v>
      </c>
      <c r="AB1173" s="51">
        <v>90.233999999999995</v>
      </c>
      <c r="AC1173" s="52">
        <f t="shared" si="550"/>
        <v>4.462979028364019E-2</v>
      </c>
    </row>
    <row r="1174" spans="27:29">
      <c r="AA1174" s="50">
        <v>563.1</v>
      </c>
      <c r="AB1174" s="51">
        <v>90.230999999999995</v>
      </c>
      <c r="AC1174" s="52">
        <f t="shared" si="550"/>
        <v>4.4644229465152716E-2</v>
      </c>
    </row>
    <row r="1175" spans="27:29">
      <c r="AA1175" s="50">
        <v>563</v>
      </c>
      <c r="AB1175" s="51">
        <v>90.218999999999994</v>
      </c>
      <c r="AC1175" s="52">
        <f t="shared" si="550"/>
        <v>4.470199099234054E-2</v>
      </c>
    </row>
    <row r="1176" spans="27:29">
      <c r="AA1176" s="50">
        <v>562.9</v>
      </c>
      <c r="AB1176" s="51">
        <v>90.180999999999997</v>
      </c>
      <c r="AC1176" s="52">
        <f t="shared" si="550"/>
        <v>4.4884953193631075E-2</v>
      </c>
    </row>
    <row r="1177" spans="27:29">
      <c r="AA1177" s="50">
        <v>562.79999999999995</v>
      </c>
      <c r="AB1177" s="51">
        <v>90.162999999999997</v>
      </c>
      <c r="AC1177" s="52">
        <f t="shared" si="550"/>
        <v>4.4971646409931253E-2</v>
      </c>
    </row>
    <row r="1178" spans="27:29">
      <c r="AA1178" s="50">
        <v>562.70000000000005</v>
      </c>
      <c r="AB1178" s="51">
        <v>90.141999999999996</v>
      </c>
      <c r="AC1178" s="52">
        <f t="shared" si="550"/>
        <v>4.5072810372785349E-2</v>
      </c>
    </row>
    <row r="1179" spans="27:29">
      <c r="AA1179" s="50">
        <v>562.6</v>
      </c>
      <c r="AB1179" s="51">
        <v>90.156999999999996</v>
      </c>
      <c r="AC1179" s="52">
        <f t="shared" si="550"/>
        <v>4.5000547994806794E-2</v>
      </c>
    </row>
    <row r="1180" spans="27:29">
      <c r="AA1180" s="50">
        <v>562.5</v>
      </c>
      <c r="AB1180" s="51">
        <v>90.183999999999997</v>
      </c>
      <c r="AC1180" s="52">
        <f t="shared" si="550"/>
        <v>4.4870506006584487E-2</v>
      </c>
    </row>
    <row r="1181" spans="27:29">
      <c r="AA1181" s="50">
        <v>562.4</v>
      </c>
      <c r="AB1181" s="51">
        <v>90.209000000000003</v>
      </c>
      <c r="AC1181" s="52">
        <f t="shared" si="550"/>
        <v>4.4750131467471609E-2</v>
      </c>
    </row>
    <row r="1182" spans="27:29">
      <c r="AA1182" s="50">
        <v>562.29999999999995</v>
      </c>
      <c r="AB1182" s="51">
        <v>90.167000000000002</v>
      </c>
      <c r="AC1182" s="52">
        <f t="shared" si="550"/>
        <v>4.4952379755155016E-2</v>
      </c>
    </row>
    <row r="1183" spans="27:29">
      <c r="AA1183" s="50">
        <v>562.20000000000005</v>
      </c>
      <c r="AB1183" s="51">
        <v>90.159000000000006</v>
      </c>
      <c r="AC1183" s="52">
        <f t="shared" si="550"/>
        <v>4.4990913919474074E-2</v>
      </c>
    </row>
    <row r="1184" spans="27:29">
      <c r="AA1184" s="50">
        <v>562.1</v>
      </c>
      <c r="AB1184" s="51">
        <v>90.159000000000006</v>
      </c>
      <c r="AC1184" s="52">
        <f t="shared" si="550"/>
        <v>4.4990913919474074E-2</v>
      </c>
    </row>
    <row r="1185" spans="27:29">
      <c r="AA1185" s="50">
        <v>562</v>
      </c>
      <c r="AB1185" s="51">
        <v>90.203999999999994</v>
      </c>
      <c r="AC1185" s="52">
        <f t="shared" si="550"/>
        <v>4.4774203706280088E-2</v>
      </c>
    </row>
    <row r="1186" spans="27:29">
      <c r="AA1186" s="50">
        <v>561.9</v>
      </c>
      <c r="AB1186" s="51">
        <v>90.203999999999994</v>
      </c>
      <c r="AC1186" s="52">
        <f t="shared" si="550"/>
        <v>4.4774203706280088E-2</v>
      </c>
    </row>
    <row r="1187" spans="27:29">
      <c r="AA1187" s="50">
        <v>561.79999999999995</v>
      </c>
      <c r="AB1187" s="51">
        <v>90.147000000000006</v>
      </c>
      <c r="AC1187" s="52">
        <f t="shared" si="550"/>
        <v>4.5048721577461426E-2</v>
      </c>
    </row>
    <row r="1188" spans="27:29">
      <c r="AA1188" s="50">
        <v>561.70000000000005</v>
      </c>
      <c r="AB1188" s="51">
        <v>90.171999999999997</v>
      </c>
      <c r="AC1188" s="52">
        <f t="shared" si="550"/>
        <v>4.4928297638584858E-2</v>
      </c>
    </row>
    <row r="1189" spans="27:29">
      <c r="AA1189" s="50">
        <v>561.6</v>
      </c>
      <c r="AB1189" s="51">
        <v>90.13</v>
      </c>
      <c r="AC1189" s="52">
        <f t="shared" si="550"/>
        <v>4.5130628933521759E-2</v>
      </c>
    </row>
    <row r="1190" spans="27:29">
      <c r="AA1190" s="50">
        <v>561.5</v>
      </c>
      <c r="AB1190" s="51">
        <v>90.105000000000004</v>
      </c>
      <c r="AC1190" s="52">
        <f t="shared" si="550"/>
        <v>4.5251108996963503E-2</v>
      </c>
    </row>
    <row r="1191" spans="27:29">
      <c r="AA1191" s="50">
        <v>561.4</v>
      </c>
      <c r="AB1191" s="51">
        <v>90.156999999999996</v>
      </c>
      <c r="AC1191" s="52">
        <f t="shared" si="550"/>
        <v>4.5000547994806794E-2</v>
      </c>
    </row>
    <row r="1192" spans="27:29">
      <c r="AA1192" s="50">
        <v>561.29999999999995</v>
      </c>
      <c r="AB1192" s="51">
        <v>90.123000000000005</v>
      </c>
      <c r="AC1192" s="52">
        <f t="shared" si="550"/>
        <v>4.5164359982379165E-2</v>
      </c>
    </row>
    <row r="1193" spans="27:29">
      <c r="AA1193" s="50">
        <v>561.20000000000005</v>
      </c>
      <c r="AB1193" s="51">
        <v>90.096000000000004</v>
      </c>
      <c r="AC1193" s="52">
        <f t="shared" si="550"/>
        <v>4.5294490003066477E-2</v>
      </c>
    </row>
    <row r="1194" spans="27:29">
      <c r="AA1194" s="50">
        <v>561.1</v>
      </c>
      <c r="AB1194" s="51">
        <v>90.132000000000005</v>
      </c>
      <c r="AC1194" s="52">
        <f t="shared" si="550"/>
        <v>4.5120991972167256E-2</v>
      </c>
    </row>
    <row r="1195" spans="27:29">
      <c r="AA1195" s="50">
        <v>561</v>
      </c>
      <c r="AB1195" s="51">
        <v>90.102999999999994</v>
      </c>
      <c r="AC1195" s="52">
        <f t="shared" si="550"/>
        <v>4.5260748846069461E-2</v>
      </c>
    </row>
    <row r="1196" spans="27:29">
      <c r="AA1196" s="50">
        <v>560.9</v>
      </c>
      <c r="AB1196" s="51">
        <v>90.063999999999993</v>
      </c>
      <c r="AC1196" s="52">
        <f t="shared" si="550"/>
        <v>4.5448768683873063E-2</v>
      </c>
    </row>
    <row r="1197" spans="27:29">
      <c r="AA1197" s="50">
        <v>560.79999999999995</v>
      </c>
      <c r="AB1197" s="51">
        <v>90.042000000000002</v>
      </c>
      <c r="AC1197" s="52">
        <f t="shared" si="550"/>
        <v>4.5554867077589947E-2</v>
      </c>
    </row>
    <row r="1198" spans="27:29">
      <c r="AA1198" s="50">
        <v>560.70000000000005</v>
      </c>
      <c r="AB1198" s="51">
        <v>90.061999999999998</v>
      </c>
      <c r="AC1198" s="52">
        <f t="shared" si="550"/>
        <v>4.5458412921393888E-2</v>
      </c>
    </row>
    <row r="1199" spans="27:29">
      <c r="AA1199" s="50">
        <v>560.6</v>
      </c>
      <c r="AB1199" s="51">
        <v>90.102999999999994</v>
      </c>
      <c r="AC1199" s="52">
        <f t="shared" si="550"/>
        <v>4.5260748846069461E-2</v>
      </c>
    </row>
    <row r="1200" spans="27:29">
      <c r="AA1200" s="50">
        <v>560.5</v>
      </c>
      <c r="AB1200" s="51">
        <v>90.096999999999994</v>
      </c>
      <c r="AC1200" s="52">
        <f t="shared" si="550"/>
        <v>4.5289669677283498E-2</v>
      </c>
    </row>
    <row r="1201" spans="27:29">
      <c r="AA1201" s="50">
        <v>560.4</v>
      </c>
      <c r="AB1201" s="51">
        <v>90.075000000000003</v>
      </c>
      <c r="AC1201" s="52">
        <f t="shared" si="550"/>
        <v>4.5395729205393878E-2</v>
      </c>
    </row>
    <row r="1202" spans="27:29">
      <c r="AA1202" s="50">
        <v>560.29999999999995</v>
      </c>
      <c r="AB1202" s="51">
        <v>90.036000000000001</v>
      </c>
      <c r="AC1202" s="52">
        <f t="shared" si="550"/>
        <v>4.558380750221018E-2</v>
      </c>
    </row>
    <row r="1203" spans="27:29">
      <c r="AA1203" s="50">
        <v>560.20000000000005</v>
      </c>
      <c r="AB1203" s="51">
        <v>90.034000000000006</v>
      </c>
      <c r="AC1203" s="52">
        <f t="shared" si="550"/>
        <v>4.5593454738994135E-2</v>
      </c>
    </row>
    <row r="1204" spans="27:29">
      <c r="AA1204" s="50">
        <v>560.1</v>
      </c>
      <c r="AB1204" s="51">
        <v>89.998999999999995</v>
      </c>
      <c r="AC1204" s="52">
        <f t="shared" si="550"/>
        <v>4.5762316081727018E-2</v>
      </c>
    </row>
    <row r="1205" spans="27:29">
      <c r="AA1205" s="50">
        <v>560</v>
      </c>
      <c r="AB1205" s="51">
        <v>90.03</v>
      </c>
      <c r="AC1205" s="52">
        <f t="shared" si="550"/>
        <v>4.5612749855484941E-2</v>
      </c>
    </row>
    <row r="1206" spans="27:29">
      <c r="AA1206" s="50">
        <v>559.9</v>
      </c>
      <c r="AB1206" s="51">
        <v>90.037000000000006</v>
      </c>
      <c r="AC1206" s="52">
        <f t="shared" si="550"/>
        <v>4.5578983964179379E-2</v>
      </c>
    </row>
    <row r="1207" spans="27:29">
      <c r="AA1207" s="50">
        <v>559.79999999999995</v>
      </c>
      <c r="AB1207" s="51">
        <v>90.01</v>
      </c>
      <c r="AC1207" s="52">
        <f t="shared" si="550"/>
        <v>4.5709238298872995E-2</v>
      </c>
    </row>
    <row r="1208" spans="27:29">
      <c r="AA1208" s="50">
        <v>559.70000000000005</v>
      </c>
      <c r="AB1208" s="51">
        <v>90.013000000000005</v>
      </c>
      <c r="AC1208" s="52">
        <f t="shared" si="550"/>
        <v>4.569476366567797E-2</v>
      </c>
    </row>
    <row r="1209" spans="27:29">
      <c r="AA1209" s="50">
        <v>559.6</v>
      </c>
      <c r="AB1209" s="51">
        <v>89.998000000000005</v>
      </c>
      <c r="AC1209" s="52">
        <f t="shared" si="550"/>
        <v>4.5767141656396657E-2</v>
      </c>
    </row>
    <row r="1210" spans="27:29">
      <c r="AA1210" s="50">
        <v>559.5</v>
      </c>
      <c r="AB1210" s="51">
        <v>89.98</v>
      </c>
      <c r="AC1210" s="52">
        <f t="shared" si="550"/>
        <v>4.5854011170451937E-2</v>
      </c>
    </row>
    <row r="1211" spans="27:29">
      <c r="AA1211" s="50">
        <v>559.4</v>
      </c>
      <c r="AB1211" s="51">
        <v>89.929000000000002</v>
      </c>
      <c r="AC1211" s="52">
        <f t="shared" si="550"/>
        <v>4.6100235863717504E-2</v>
      </c>
    </row>
    <row r="1212" spans="27:29">
      <c r="AA1212" s="50">
        <v>559.29999999999995</v>
      </c>
      <c r="AB1212" s="51">
        <v>89.995999999999995</v>
      </c>
      <c r="AC1212" s="52">
        <f t="shared" si="550"/>
        <v>4.5776792966594142E-2</v>
      </c>
    </row>
    <row r="1213" spans="27:29">
      <c r="AA1213" s="50">
        <v>559.20000000000005</v>
      </c>
      <c r="AB1213" s="51">
        <v>89.980999999999995</v>
      </c>
      <c r="AC1213" s="52">
        <f t="shared" si="550"/>
        <v>4.5849184630458208E-2</v>
      </c>
    </row>
    <row r="1214" spans="27:29">
      <c r="AA1214" s="50">
        <v>559.1</v>
      </c>
      <c r="AB1214" s="51">
        <v>90.049000000000007</v>
      </c>
      <c r="AC1214" s="52">
        <f t="shared" si="550"/>
        <v>4.5521105686128355E-2</v>
      </c>
    </row>
    <row r="1215" spans="27:29">
      <c r="AA1215" s="50">
        <v>559</v>
      </c>
      <c r="AB1215" s="51">
        <v>90.001000000000005</v>
      </c>
      <c r="AC1215" s="52">
        <f t="shared" si="550"/>
        <v>4.5752665093239817E-2</v>
      </c>
    </row>
    <row r="1216" spans="27:29">
      <c r="AA1216" s="50">
        <v>558.9</v>
      </c>
      <c r="AB1216" s="51">
        <v>89.906000000000006</v>
      </c>
      <c r="AC1216" s="52">
        <f t="shared" si="550"/>
        <v>4.6211324062769253E-2</v>
      </c>
    </row>
    <row r="1217" spans="27:29">
      <c r="AA1217" s="50">
        <v>558.79999999999995</v>
      </c>
      <c r="AB1217" s="51">
        <v>89.921999999999997</v>
      </c>
      <c r="AC1217" s="52">
        <f t="shared" si="550"/>
        <v>4.6134042307661195E-2</v>
      </c>
    </row>
    <row r="1218" spans="27:29">
      <c r="AA1218" s="50">
        <v>558.70000000000005</v>
      </c>
      <c r="AB1218" s="51">
        <v>89.867000000000004</v>
      </c>
      <c r="AC1218" s="52">
        <f t="shared" si="550"/>
        <v>4.6399755974790929E-2</v>
      </c>
    </row>
    <row r="1219" spans="27:29">
      <c r="AA1219" s="50">
        <v>558.6</v>
      </c>
      <c r="AB1219" s="51">
        <v>89.861000000000004</v>
      </c>
      <c r="AC1219" s="52">
        <f t="shared" si="550"/>
        <v>4.6428752757622656E-2</v>
      </c>
    </row>
    <row r="1220" spans="27:29">
      <c r="AA1220" s="50">
        <v>558.5</v>
      </c>
      <c r="AB1220" s="51">
        <v>89.837999999999994</v>
      </c>
      <c r="AC1220" s="52">
        <f t="shared" si="550"/>
        <v>4.6539925030571562E-2</v>
      </c>
    </row>
    <row r="1221" spans="27:29">
      <c r="AA1221" s="50">
        <v>558.4</v>
      </c>
      <c r="AB1221" s="51">
        <v>89.884</v>
      </c>
      <c r="AC1221" s="52">
        <f t="shared" si="550"/>
        <v>4.6317608935671675E-2</v>
      </c>
    </row>
    <row r="1222" spans="27:29">
      <c r="AA1222" s="50">
        <v>558.29999999999995</v>
      </c>
      <c r="AB1222" s="51">
        <v>89.856999999999999</v>
      </c>
      <c r="AC1222" s="52">
        <f t="shared" si="550"/>
        <v>4.6448085021813239E-2</v>
      </c>
    </row>
    <row r="1223" spans="27:29">
      <c r="AA1223" s="50">
        <v>558.20000000000005</v>
      </c>
      <c r="AB1223" s="51">
        <v>89.834999999999994</v>
      </c>
      <c r="AC1223" s="52">
        <f t="shared" si="550"/>
        <v>4.655442786011E-2</v>
      </c>
    </row>
    <row r="1224" spans="27:29">
      <c r="AA1224" s="50">
        <v>558.1</v>
      </c>
      <c r="AB1224" s="51">
        <v>89.817999999999998</v>
      </c>
      <c r="AC1224" s="52">
        <f t="shared" si="550"/>
        <v>4.6636619710114083E-2</v>
      </c>
    </row>
    <row r="1225" spans="27:29">
      <c r="AA1225" s="50">
        <v>558</v>
      </c>
      <c r="AB1225" s="51">
        <v>89.79</v>
      </c>
      <c r="AC1225" s="52">
        <f t="shared" si="550"/>
        <v>4.6772028440146149E-2</v>
      </c>
    </row>
    <row r="1226" spans="27:29">
      <c r="AA1226" s="50">
        <v>557.9</v>
      </c>
      <c r="AB1226" s="51">
        <v>89.825000000000003</v>
      </c>
      <c r="AC1226" s="52">
        <f t="shared" ref="AC1226:AC1289" si="551">-LOG(AB1226/100)</f>
        <v>4.6602774123312901E-2</v>
      </c>
    </row>
    <row r="1227" spans="27:29">
      <c r="AA1227" s="50">
        <v>557.79999999999995</v>
      </c>
      <c r="AB1227" s="51">
        <v>89.778999999999996</v>
      </c>
      <c r="AC1227" s="52">
        <f t="shared" si="551"/>
        <v>4.682523628010643E-2</v>
      </c>
    </row>
    <row r="1228" spans="27:29">
      <c r="AA1228" s="50">
        <v>557.70000000000005</v>
      </c>
      <c r="AB1228" s="51">
        <v>89.751999999999995</v>
      </c>
      <c r="AC1228" s="52">
        <f t="shared" si="551"/>
        <v>4.6955864986010058E-2</v>
      </c>
    </row>
    <row r="1229" spans="27:29">
      <c r="AA1229" s="50">
        <v>557.6</v>
      </c>
      <c r="AB1229" s="51">
        <v>89.692999999999998</v>
      </c>
      <c r="AC1229" s="52">
        <f t="shared" si="551"/>
        <v>4.7241449709525561E-2</v>
      </c>
    </row>
    <row r="1230" spans="27:29">
      <c r="AA1230" s="50">
        <v>557.5</v>
      </c>
      <c r="AB1230" s="51">
        <v>89.650999999999996</v>
      </c>
      <c r="AC1230" s="52">
        <f t="shared" si="551"/>
        <v>4.7444861795498838E-2</v>
      </c>
    </row>
    <row r="1231" spans="27:29">
      <c r="AA1231" s="50">
        <v>557.4</v>
      </c>
      <c r="AB1231" s="51">
        <v>89.682000000000002</v>
      </c>
      <c r="AC1231" s="52">
        <f t="shared" si="551"/>
        <v>4.7294715095526088E-2</v>
      </c>
    </row>
    <row r="1232" spans="27:29">
      <c r="AA1232" s="50">
        <v>557.29999999999995</v>
      </c>
      <c r="AB1232" s="51">
        <v>89.584999999999994</v>
      </c>
      <c r="AC1232" s="52">
        <f t="shared" si="551"/>
        <v>4.7764701973823896E-2</v>
      </c>
    </row>
    <row r="1233" spans="27:29">
      <c r="AA1233" s="50">
        <v>557.20000000000005</v>
      </c>
      <c r="AB1233" s="51">
        <v>89.546999999999997</v>
      </c>
      <c r="AC1233" s="52">
        <f t="shared" si="551"/>
        <v>4.794895928753528E-2</v>
      </c>
    </row>
    <row r="1234" spans="27:29">
      <c r="AA1234" s="50">
        <v>557.1</v>
      </c>
      <c r="AB1234" s="51">
        <v>89.497</v>
      </c>
      <c r="AC1234" s="52">
        <f t="shared" si="551"/>
        <v>4.819152228500681E-2</v>
      </c>
    </row>
    <row r="1235" spans="27:29">
      <c r="AA1235" s="50">
        <v>557</v>
      </c>
      <c r="AB1235" s="51">
        <v>89.475999999999999</v>
      </c>
      <c r="AC1235" s="52">
        <f t="shared" si="551"/>
        <v>4.8293439156957607E-2</v>
      </c>
    </row>
    <row r="1236" spans="27:29">
      <c r="AA1236" s="50">
        <v>556.9</v>
      </c>
      <c r="AB1236" s="51">
        <v>89.474000000000004</v>
      </c>
      <c r="AC1236" s="52">
        <f t="shared" si="551"/>
        <v>4.8303146773206157E-2</v>
      </c>
    </row>
    <row r="1237" spans="27:29">
      <c r="AA1237" s="50">
        <v>556.79999999999995</v>
      </c>
      <c r="AB1237" s="51">
        <v>89.424000000000007</v>
      </c>
      <c r="AC1237" s="52">
        <f t="shared" si="551"/>
        <v>4.8545907728170135E-2</v>
      </c>
    </row>
    <row r="1238" spans="27:29">
      <c r="AA1238" s="50">
        <v>556.70000000000005</v>
      </c>
      <c r="AB1238" s="51">
        <v>89.403000000000006</v>
      </c>
      <c r="AC1238" s="52">
        <f t="shared" si="551"/>
        <v>4.8647907808268651E-2</v>
      </c>
    </row>
    <row r="1239" spans="27:29">
      <c r="AA1239" s="50">
        <v>556.6</v>
      </c>
      <c r="AB1239" s="51">
        <v>89.305000000000007</v>
      </c>
      <c r="AC1239" s="52">
        <f t="shared" si="551"/>
        <v>4.9124225191853464E-2</v>
      </c>
    </row>
    <row r="1240" spans="27:29">
      <c r="AA1240" s="50">
        <v>556.5</v>
      </c>
      <c r="AB1240" s="51">
        <v>89.266999999999996</v>
      </c>
      <c r="AC1240" s="52">
        <f t="shared" si="551"/>
        <v>4.9309060334669114E-2</v>
      </c>
    </row>
    <row r="1241" spans="27:29">
      <c r="AA1241" s="50">
        <v>556.4</v>
      </c>
      <c r="AB1241" s="51">
        <v>89.212999999999994</v>
      </c>
      <c r="AC1241" s="52">
        <f t="shared" si="551"/>
        <v>4.9571856196820238E-2</v>
      </c>
    </row>
    <row r="1242" spans="27:29">
      <c r="AA1242" s="50">
        <v>556.29999999999995</v>
      </c>
      <c r="AB1242" s="51">
        <v>89.179000000000002</v>
      </c>
      <c r="AC1242" s="52">
        <f t="shared" si="551"/>
        <v>4.9737401877831759E-2</v>
      </c>
    </row>
    <row r="1243" spans="27:29">
      <c r="AA1243" s="50">
        <v>556.20000000000005</v>
      </c>
      <c r="AB1243" s="51">
        <v>89.043000000000006</v>
      </c>
      <c r="AC1243" s="52">
        <f t="shared" si="551"/>
        <v>5.0400216356441541E-2</v>
      </c>
    </row>
    <row r="1244" spans="27:29">
      <c r="AA1244" s="50">
        <v>556.1</v>
      </c>
      <c r="AB1244" s="51">
        <v>88.938000000000002</v>
      </c>
      <c r="AC1244" s="52">
        <f t="shared" si="551"/>
        <v>5.0912641007277118E-2</v>
      </c>
    </row>
    <row r="1245" spans="27:29">
      <c r="AA1245" s="50">
        <v>556</v>
      </c>
      <c r="AB1245" s="51">
        <v>88.852000000000004</v>
      </c>
      <c r="AC1245" s="52">
        <f t="shared" si="551"/>
        <v>5.1332792065904721E-2</v>
      </c>
    </row>
    <row r="1246" spans="27:29">
      <c r="AA1246" s="50">
        <v>555.9</v>
      </c>
      <c r="AB1246" s="51">
        <v>88.831000000000003</v>
      </c>
      <c r="AC1246" s="52">
        <f t="shared" si="551"/>
        <v>5.1435448866639005E-2</v>
      </c>
    </row>
    <row r="1247" spans="27:29">
      <c r="AA1247" s="50">
        <v>555.79999999999995</v>
      </c>
      <c r="AB1247" s="51">
        <v>88.709000000000003</v>
      </c>
      <c r="AC1247" s="52">
        <f t="shared" si="551"/>
        <v>5.2032316447261889E-2</v>
      </c>
    </row>
    <row r="1248" spans="27:29">
      <c r="AA1248" s="50">
        <v>555.70000000000005</v>
      </c>
      <c r="AB1248" s="51">
        <v>88.542000000000002</v>
      </c>
      <c r="AC1248" s="52">
        <f t="shared" si="551"/>
        <v>5.2850672337362618E-2</v>
      </c>
    </row>
    <row r="1249" spans="27:29">
      <c r="AA1249" s="50">
        <v>555.6</v>
      </c>
      <c r="AB1249" s="51">
        <v>88.451999999999998</v>
      </c>
      <c r="AC1249" s="52">
        <f t="shared" si="551"/>
        <v>5.3292342752631838E-2</v>
      </c>
    </row>
    <row r="1250" spans="27:29">
      <c r="AA1250" s="50">
        <v>555.5</v>
      </c>
      <c r="AB1250" s="51">
        <v>88.283000000000001</v>
      </c>
      <c r="AC1250" s="52">
        <f t="shared" si="551"/>
        <v>5.4122917226417808E-2</v>
      </c>
    </row>
    <row r="1251" spans="27:29">
      <c r="AA1251" s="50">
        <v>555.4</v>
      </c>
      <c r="AB1251" s="51">
        <v>88.167000000000002</v>
      </c>
      <c r="AC1251" s="52">
        <f t="shared" si="551"/>
        <v>5.4693936406450538E-2</v>
      </c>
    </row>
    <row r="1252" spans="27:29">
      <c r="AA1252" s="50">
        <v>555.29999999999995</v>
      </c>
      <c r="AB1252" s="51">
        <v>88.024000000000001</v>
      </c>
      <c r="AC1252" s="52">
        <f t="shared" si="551"/>
        <v>5.5398900048733032E-2</v>
      </c>
    </row>
    <row r="1253" spans="27:29">
      <c r="AA1253" s="50">
        <v>555.20000000000005</v>
      </c>
      <c r="AB1253" s="51">
        <v>87.876999999999995</v>
      </c>
      <c r="AC1253" s="52">
        <f t="shared" si="551"/>
        <v>5.6124777715168453E-2</v>
      </c>
    </row>
    <row r="1254" spans="27:29">
      <c r="AA1254" s="50">
        <v>555.1</v>
      </c>
      <c r="AB1254" s="51">
        <v>87.716999999999999</v>
      </c>
      <c r="AC1254" s="52">
        <f t="shared" si="551"/>
        <v>5.6916230000959613E-2</v>
      </c>
    </row>
    <row r="1255" spans="27:29">
      <c r="AA1255" s="50">
        <v>555</v>
      </c>
      <c r="AB1255" s="51">
        <v>87.495000000000005</v>
      </c>
      <c r="AC1255" s="52">
        <f t="shared" si="551"/>
        <v>5.8016764514303307E-2</v>
      </c>
    </row>
    <row r="1256" spans="27:29">
      <c r="AA1256" s="50">
        <v>554.9</v>
      </c>
      <c r="AB1256" s="51">
        <v>87.302999999999997</v>
      </c>
      <c r="AC1256" s="52">
        <f t="shared" si="551"/>
        <v>5.8970832341854011E-2</v>
      </c>
    </row>
    <row r="1257" spans="27:29">
      <c r="AA1257" s="50">
        <v>554.79999999999995</v>
      </c>
      <c r="AB1257" s="51">
        <v>87.099000000000004</v>
      </c>
      <c r="AC1257" s="52">
        <f t="shared" si="551"/>
        <v>5.9986831180339095E-2</v>
      </c>
    </row>
    <row r="1258" spans="27:29">
      <c r="AA1258" s="50">
        <v>554.70000000000005</v>
      </c>
      <c r="AB1258" s="51">
        <v>86.933999999999997</v>
      </c>
      <c r="AC1258" s="52">
        <f t="shared" si="551"/>
        <v>6.0810337193394327E-2</v>
      </c>
    </row>
    <row r="1259" spans="27:29">
      <c r="AA1259" s="50">
        <v>554.6</v>
      </c>
      <c r="AB1259" s="51">
        <v>86.760999999999996</v>
      </c>
      <c r="AC1259" s="52">
        <f t="shared" si="551"/>
        <v>6.1675450987269516E-2</v>
      </c>
    </row>
    <row r="1260" spans="27:29">
      <c r="AA1260" s="50">
        <v>554.5</v>
      </c>
      <c r="AB1260" s="51">
        <v>86.572999999999993</v>
      </c>
      <c r="AC1260" s="52">
        <f t="shared" si="551"/>
        <v>6.2617532686347455E-2</v>
      </c>
    </row>
    <row r="1261" spans="27:29">
      <c r="AA1261" s="50">
        <v>554.4</v>
      </c>
      <c r="AB1261" s="51">
        <v>86.33</v>
      </c>
      <c r="AC1261" s="52">
        <f t="shared" si="551"/>
        <v>6.3838259088842386E-2</v>
      </c>
    </row>
    <row r="1262" spans="27:29">
      <c r="AA1262" s="50">
        <v>554.29999999999995</v>
      </c>
      <c r="AB1262" s="51">
        <v>86.156000000000006</v>
      </c>
      <c r="AC1262" s="52">
        <f t="shared" si="551"/>
        <v>6.4714472410322285E-2</v>
      </c>
    </row>
    <row r="1263" spans="27:29">
      <c r="AA1263" s="50">
        <v>554.20000000000005</v>
      </c>
      <c r="AB1263" s="51">
        <v>85.977000000000004</v>
      </c>
      <c r="AC1263" s="52">
        <f t="shared" si="551"/>
        <v>6.561771281492064E-2</v>
      </c>
    </row>
    <row r="1264" spans="27:29">
      <c r="AA1264" s="50">
        <v>554.1</v>
      </c>
      <c r="AB1264" s="51">
        <v>85.778000000000006</v>
      </c>
      <c r="AC1264" s="52">
        <f t="shared" si="551"/>
        <v>6.6624083989807986E-2</v>
      </c>
    </row>
    <row r="1265" spans="27:29">
      <c r="AA1265" s="50">
        <v>554</v>
      </c>
      <c r="AB1265" s="51">
        <v>85.58</v>
      </c>
      <c r="AC1265" s="52">
        <f t="shared" si="551"/>
        <v>6.7627717852086031E-2</v>
      </c>
    </row>
    <row r="1266" spans="27:29">
      <c r="AA1266" s="50">
        <v>553.9</v>
      </c>
      <c r="AB1266" s="51">
        <v>85.355999999999995</v>
      </c>
      <c r="AC1266" s="52">
        <f t="shared" si="551"/>
        <v>6.8765945254524591E-2</v>
      </c>
    </row>
    <row r="1267" spans="27:29">
      <c r="AA1267" s="50">
        <v>553.79999999999995</v>
      </c>
      <c r="AB1267" s="51">
        <v>85.141000000000005</v>
      </c>
      <c r="AC1267" s="52">
        <f t="shared" si="551"/>
        <v>6.9861253243549373E-2</v>
      </c>
    </row>
    <row r="1268" spans="27:29">
      <c r="AA1268" s="50">
        <v>553.70000000000005</v>
      </c>
      <c r="AB1268" s="51">
        <v>84.986000000000004</v>
      </c>
      <c r="AC1268" s="52">
        <f t="shared" si="551"/>
        <v>7.0652611032973392E-2</v>
      </c>
    </row>
    <row r="1269" spans="27:29">
      <c r="AA1269" s="50">
        <v>553.6</v>
      </c>
      <c r="AB1269" s="51">
        <v>84.792000000000002</v>
      </c>
      <c r="AC1269" s="52">
        <f t="shared" si="551"/>
        <v>7.1645120853548488E-2</v>
      </c>
    </row>
    <row r="1270" spans="27:29">
      <c r="AA1270" s="50">
        <v>553.5</v>
      </c>
      <c r="AB1270" s="51">
        <v>84.647999999999996</v>
      </c>
      <c r="AC1270" s="52">
        <f t="shared" si="551"/>
        <v>7.2383298620904341E-2</v>
      </c>
    </row>
    <row r="1271" spans="27:29">
      <c r="AA1271" s="50">
        <v>553.4</v>
      </c>
      <c r="AB1271" s="51">
        <v>84.513000000000005</v>
      </c>
      <c r="AC1271" s="52">
        <f t="shared" si="551"/>
        <v>7.3076481653682801E-2</v>
      </c>
    </row>
    <row r="1272" spans="27:29">
      <c r="AA1272" s="50">
        <v>553.29999999999995</v>
      </c>
      <c r="AB1272" s="51">
        <v>84.322999999999993</v>
      </c>
      <c r="AC1272" s="52">
        <f t="shared" si="551"/>
        <v>7.4053950752629466E-2</v>
      </c>
    </row>
    <row r="1273" spans="27:29">
      <c r="AA1273" s="50">
        <v>553.20000000000005</v>
      </c>
      <c r="AB1273" s="51">
        <v>84.265000000000001</v>
      </c>
      <c r="AC1273" s="52">
        <f t="shared" si="551"/>
        <v>7.4352774879425834E-2</v>
      </c>
    </row>
    <row r="1274" spans="27:29">
      <c r="AA1274" s="50">
        <v>553.1</v>
      </c>
      <c r="AB1274" s="51">
        <v>84.119</v>
      </c>
      <c r="AC1274" s="52">
        <f t="shared" si="551"/>
        <v>7.5105898813383212E-2</v>
      </c>
    </row>
    <row r="1275" spans="27:29">
      <c r="AA1275" s="50">
        <v>553</v>
      </c>
      <c r="AB1275" s="51">
        <v>84.025000000000006</v>
      </c>
      <c r="AC1275" s="52">
        <f t="shared" si="551"/>
        <v>7.5591478858484926E-2</v>
      </c>
    </row>
    <row r="1276" spans="27:29">
      <c r="AA1276" s="50">
        <v>552.9</v>
      </c>
      <c r="AB1276" s="51">
        <v>83.912999999999997</v>
      </c>
      <c r="AC1276" s="52">
        <f t="shared" si="551"/>
        <v>7.6170752032925074E-2</v>
      </c>
    </row>
    <row r="1277" spans="27:29">
      <c r="AA1277" s="50">
        <v>552.79999999999995</v>
      </c>
      <c r="AB1277" s="51">
        <v>83.775999999999996</v>
      </c>
      <c r="AC1277" s="52">
        <f t="shared" si="551"/>
        <v>7.6880379465357057E-2</v>
      </c>
    </row>
    <row r="1278" spans="27:29">
      <c r="AA1278" s="50">
        <v>552.70000000000005</v>
      </c>
      <c r="AB1278" s="51">
        <v>83.685000000000002</v>
      </c>
      <c r="AC1278" s="52">
        <f t="shared" si="551"/>
        <v>7.7352379533949592E-2</v>
      </c>
    </row>
    <row r="1279" spans="27:29">
      <c r="AA1279" s="50">
        <v>552.6</v>
      </c>
      <c r="AB1279" s="51">
        <v>83.572999999999993</v>
      </c>
      <c r="AC1279" s="52">
        <f t="shared" si="551"/>
        <v>7.7934007787824625E-2</v>
      </c>
    </row>
    <row r="1280" spans="27:29">
      <c r="AA1280" s="50">
        <v>552.5</v>
      </c>
      <c r="AB1280" s="51">
        <v>83.456999999999994</v>
      </c>
      <c r="AC1280" s="52">
        <f t="shared" si="551"/>
        <v>7.85372307777078E-2</v>
      </c>
    </row>
    <row r="1281" spans="27:29">
      <c r="AA1281" s="50">
        <v>552.4</v>
      </c>
      <c r="AB1281" s="51">
        <v>83.322999999999993</v>
      </c>
      <c r="AC1281" s="52">
        <f t="shared" si="551"/>
        <v>7.9235101902512886E-2</v>
      </c>
    </row>
    <row r="1282" spans="27:29">
      <c r="AA1282" s="50">
        <v>552.29999999999995</v>
      </c>
      <c r="AB1282" s="51">
        <v>83.262</v>
      </c>
      <c r="AC1282" s="52">
        <f t="shared" si="551"/>
        <v>7.9553161326592764E-2</v>
      </c>
    </row>
    <row r="1283" spans="27:29">
      <c r="AA1283" s="50">
        <v>552.20000000000005</v>
      </c>
      <c r="AB1283" s="51">
        <v>83.168999999999997</v>
      </c>
      <c r="AC1283" s="52">
        <f t="shared" si="551"/>
        <v>8.0038520316454281E-2</v>
      </c>
    </row>
    <row r="1284" spans="27:29">
      <c r="AA1284" s="50">
        <v>552.1</v>
      </c>
      <c r="AB1284" s="51">
        <v>83.037999999999997</v>
      </c>
      <c r="AC1284" s="52">
        <f t="shared" si="551"/>
        <v>8.0723119507947097E-2</v>
      </c>
    </row>
    <row r="1285" spans="27:29">
      <c r="AA1285" s="50">
        <v>552</v>
      </c>
      <c r="AB1285" s="51">
        <v>82.941000000000003</v>
      </c>
      <c r="AC1285" s="52">
        <f t="shared" si="551"/>
        <v>8.1230732754689616E-2</v>
      </c>
    </row>
    <row r="1286" spans="27:29">
      <c r="AA1286" s="50">
        <v>551.9</v>
      </c>
      <c r="AB1286" s="51">
        <v>82.858999999999995</v>
      </c>
      <c r="AC1286" s="52">
        <f t="shared" si="551"/>
        <v>8.1660312373744631E-2</v>
      </c>
    </row>
    <row r="1287" spans="27:29">
      <c r="AA1287" s="50">
        <v>551.79999999999995</v>
      </c>
      <c r="AB1287" s="51">
        <v>82.787000000000006</v>
      </c>
      <c r="AC1287" s="52">
        <f t="shared" si="551"/>
        <v>8.2037854900171667E-2</v>
      </c>
    </row>
    <row r="1288" spans="27:29">
      <c r="AA1288" s="50">
        <v>551.70000000000005</v>
      </c>
      <c r="AB1288" s="51">
        <v>82.656999999999996</v>
      </c>
      <c r="AC1288" s="52">
        <f t="shared" si="551"/>
        <v>8.2720361298312825E-2</v>
      </c>
    </row>
    <row r="1289" spans="27:29">
      <c r="AA1289" s="50">
        <v>551.6</v>
      </c>
      <c r="AB1289" s="51">
        <v>82.507000000000005</v>
      </c>
      <c r="AC1289" s="52">
        <f t="shared" si="551"/>
        <v>8.3509203784519509E-2</v>
      </c>
    </row>
    <row r="1290" spans="27:29">
      <c r="AA1290" s="50">
        <v>551.5</v>
      </c>
      <c r="AB1290" s="51">
        <v>82.424000000000007</v>
      </c>
      <c r="AC1290" s="52">
        <f t="shared" ref="AC1290:AC1353" si="552">-LOG(AB1290/100)</f>
        <v>8.3946313182278645E-2</v>
      </c>
    </row>
    <row r="1291" spans="27:29">
      <c r="AA1291" s="50">
        <v>551.4</v>
      </c>
      <c r="AB1291" s="51">
        <v>82.292000000000002</v>
      </c>
      <c r="AC1291" s="52">
        <f t="shared" si="552"/>
        <v>8.4642382585168222E-2</v>
      </c>
    </row>
    <row r="1292" spans="27:29">
      <c r="AA1292" s="50">
        <v>551.29999999999995</v>
      </c>
      <c r="AB1292" s="51">
        <v>82.088999999999999</v>
      </c>
      <c r="AC1292" s="52">
        <f t="shared" si="552"/>
        <v>8.5715034833833595E-2</v>
      </c>
    </row>
    <row r="1293" spans="27:29">
      <c r="AA1293" s="50">
        <v>551.20000000000005</v>
      </c>
      <c r="AB1293" s="51">
        <v>81.951999999999998</v>
      </c>
      <c r="AC1293" s="52">
        <f t="shared" si="552"/>
        <v>8.6440443211664317E-2</v>
      </c>
    </row>
    <row r="1294" spans="27:29">
      <c r="AA1294" s="50">
        <v>551.1</v>
      </c>
      <c r="AB1294" s="51">
        <v>81.808000000000007</v>
      </c>
      <c r="AC1294" s="52">
        <f t="shared" si="552"/>
        <v>8.7204224617538226E-2</v>
      </c>
    </row>
    <row r="1295" spans="27:29">
      <c r="AA1295" s="50">
        <v>551</v>
      </c>
      <c r="AB1295" s="51">
        <v>81.653999999999996</v>
      </c>
      <c r="AC1295" s="52">
        <f t="shared" si="552"/>
        <v>8.8022535539962352E-2</v>
      </c>
    </row>
    <row r="1296" spans="27:29">
      <c r="AA1296" s="50">
        <v>550.9</v>
      </c>
      <c r="AB1296" s="51">
        <v>81.507000000000005</v>
      </c>
      <c r="AC1296" s="52">
        <f t="shared" si="552"/>
        <v>8.8805091495286967E-2</v>
      </c>
    </row>
    <row r="1297" spans="27:29">
      <c r="AA1297" s="50">
        <v>550.79999999999995</v>
      </c>
      <c r="AB1297" s="51">
        <v>81.361000000000004</v>
      </c>
      <c r="AC1297" s="52">
        <f t="shared" si="552"/>
        <v>8.9583722182006026E-2</v>
      </c>
    </row>
    <row r="1298" spans="27:29">
      <c r="AA1298" s="50">
        <v>550.70000000000005</v>
      </c>
      <c r="AB1298" s="51">
        <v>81.180999999999997</v>
      </c>
      <c r="AC1298" s="52">
        <f t="shared" si="552"/>
        <v>9.0545603279794787E-2</v>
      </c>
    </row>
    <row r="1299" spans="27:29">
      <c r="AA1299" s="50">
        <v>550.6</v>
      </c>
      <c r="AB1299" s="51">
        <v>81.010999999999996</v>
      </c>
      <c r="AC1299" s="52">
        <f t="shared" si="552"/>
        <v>9.1456006862710076E-2</v>
      </c>
    </row>
    <row r="1300" spans="27:29">
      <c r="AA1300" s="50">
        <v>550.5</v>
      </c>
      <c r="AB1300" s="51">
        <v>80.894000000000005</v>
      </c>
      <c r="AC1300" s="52">
        <f t="shared" si="552"/>
        <v>9.2083689308931321E-2</v>
      </c>
    </row>
    <row r="1301" spans="27:29">
      <c r="AA1301" s="50">
        <v>550.4</v>
      </c>
      <c r="AB1301" s="51">
        <v>80.772000000000006</v>
      </c>
      <c r="AC1301" s="52">
        <f t="shared" si="552"/>
        <v>9.2739163395629209E-2</v>
      </c>
    </row>
    <row r="1302" spans="27:29">
      <c r="AA1302" s="50">
        <v>550.29999999999995</v>
      </c>
      <c r="AB1302" s="51">
        <v>80.61</v>
      </c>
      <c r="AC1302" s="52">
        <f t="shared" si="552"/>
        <v>9.3611078847169085E-2</v>
      </c>
    </row>
    <row r="1303" spans="27:29">
      <c r="AA1303" s="50">
        <v>550.20000000000005</v>
      </c>
      <c r="AB1303" s="51">
        <v>80.402000000000001</v>
      </c>
      <c r="AC1303" s="52">
        <f t="shared" si="552"/>
        <v>9.473314804059553E-2</v>
      </c>
    </row>
    <row r="1304" spans="27:29">
      <c r="AA1304" s="50">
        <v>550.1</v>
      </c>
      <c r="AB1304" s="51">
        <v>80.195999999999998</v>
      </c>
      <c r="AC1304" s="52">
        <f t="shared" si="552"/>
        <v>9.5847292828681874E-2</v>
      </c>
    </row>
    <row r="1305" spans="27:29">
      <c r="AA1305" s="50">
        <v>550</v>
      </c>
      <c r="AB1305" s="51">
        <v>80.082999999999998</v>
      </c>
      <c r="AC1305" s="52">
        <f t="shared" si="552"/>
        <v>9.645966606018562E-2</v>
      </c>
    </row>
    <row r="1306" spans="27:29">
      <c r="AA1306" s="50">
        <v>549.9</v>
      </c>
      <c r="AB1306" s="51">
        <v>79.885000000000005</v>
      </c>
      <c r="AC1306" s="52">
        <f t="shared" si="552"/>
        <v>9.7534760470690304E-2</v>
      </c>
    </row>
    <row r="1307" spans="27:29">
      <c r="AA1307" s="50">
        <v>549.79999999999995</v>
      </c>
      <c r="AB1307" s="51">
        <v>79.706999999999994</v>
      </c>
      <c r="AC1307" s="52">
        <f t="shared" si="552"/>
        <v>9.8503536472421979E-2</v>
      </c>
    </row>
    <row r="1308" spans="27:29">
      <c r="AA1308" s="50">
        <v>549.70000000000005</v>
      </c>
      <c r="AB1308" s="51">
        <v>79.453000000000003</v>
      </c>
      <c r="AC1308" s="52">
        <f t="shared" si="552"/>
        <v>9.9889699981483268E-2</v>
      </c>
    </row>
    <row r="1309" spans="27:29">
      <c r="AA1309" s="50">
        <v>549.6</v>
      </c>
      <c r="AB1309" s="51">
        <v>79.239000000000004</v>
      </c>
      <c r="AC1309" s="52">
        <f t="shared" si="552"/>
        <v>0.10106101391620506</v>
      </c>
    </row>
    <row r="1310" spans="27:29">
      <c r="AA1310" s="50">
        <v>549.5</v>
      </c>
      <c r="AB1310" s="51">
        <v>79.010000000000005</v>
      </c>
      <c r="AC1310" s="52">
        <f t="shared" si="552"/>
        <v>0.10231793820358007</v>
      </c>
    </row>
    <row r="1311" spans="27:29">
      <c r="AA1311" s="50">
        <v>549.4</v>
      </c>
      <c r="AB1311" s="51">
        <v>78.674999999999997</v>
      </c>
      <c r="AC1311" s="52">
        <f t="shared" si="552"/>
        <v>0.10416324841474212</v>
      </c>
    </row>
    <row r="1312" spans="27:29">
      <c r="AA1312" s="50">
        <v>549.29999999999995</v>
      </c>
      <c r="AB1312" s="51">
        <v>78.402000000000001</v>
      </c>
      <c r="AC1312" s="52">
        <f t="shared" si="552"/>
        <v>0.10567285851600727</v>
      </c>
    </row>
    <row r="1313" spans="27:29">
      <c r="AA1313" s="50">
        <v>549.20000000000005</v>
      </c>
      <c r="AB1313" s="51">
        <v>78.123999999999995</v>
      </c>
      <c r="AC1313" s="52">
        <f t="shared" si="552"/>
        <v>0.10721552865281447</v>
      </c>
    </row>
    <row r="1314" spans="27:29">
      <c r="AA1314" s="50">
        <v>549.1</v>
      </c>
      <c r="AB1314" s="51">
        <v>77.841999999999999</v>
      </c>
      <c r="AC1314" s="52">
        <f t="shared" si="552"/>
        <v>0.10878601423758025</v>
      </c>
    </row>
    <row r="1315" spans="27:29">
      <c r="AA1315" s="50">
        <v>549</v>
      </c>
      <c r="AB1315" s="51">
        <v>77.561999999999998</v>
      </c>
      <c r="AC1315" s="52">
        <f t="shared" si="552"/>
        <v>0.11035100080832619</v>
      </c>
    </row>
    <row r="1316" spans="27:29">
      <c r="AA1316" s="50">
        <v>548.9</v>
      </c>
      <c r="AB1316" s="51">
        <v>77.22</v>
      </c>
      <c r="AC1316" s="52">
        <f t="shared" si="552"/>
        <v>0.11227020271196969</v>
      </c>
    </row>
    <row r="1317" spans="27:29">
      <c r="AA1317" s="50">
        <v>548.79999999999995</v>
      </c>
      <c r="AB1317" s="51">
        <v>76.864000000000004</v>
      </c>
      <c r="AC1317" s="52">
        <f t="shared" si="552"/>
        <v>0.11427701861320679</v>
      </c>
    </row>
    <row r="1318" spans="27:29">
      <c r="AA1318" s="50">
        <v>548.70000000000005</v>
      </c>
      <c r="AB1318" s="51">
        <v>76.555000000000007</v>
      </c>
      <c r="AC1318" s="52">
        <f t="shared" si="552"/>
        <v>0.11602643917217599</v>
      </c>
    </row>
    <row r="1319" spans="27:29">
      <c r="AA1319" s="50">
        <v>548.6</v>
      </c>
      <c r="AB1319" s="51">
        <v>76.212000000000003</v>
      </c>
      <c r="AC1319" s="52">
        <f t="shared" si="552"/>
        <v>0.11797664121330073</v>
      </c>
    </row>
    <row r="1320" spans="27:29">
      <c r="AA1320" s="50">
        <v>548.5</v>
      </c>
      <c r="AB1320" s="51">
        <v>75.858000000000004</v>
      </c>
      <c r="AC1320" s="52">
        <f t="shared" si="552"/>
        <v>0.11999861167823091</v>
      </c>
    </row>
    <row r="1321" spans="27:29">
      <c r="AA1321" s="50">
        <v>548.4</v>
      </c>
      <c r="AB1321" s="51">
        <v>75.5</v>
      </c>
      <c r="AC1321" s="52">
        <f t="shared" si="552"/>
        <v>0.12205304837081175</v>
      </c>
    </row>
    <row r="1322" spans="27:29">
      <c r="AA1322" s="50">
        <v>548.29999999999995</v>
      </c>
      <c r="AB1322" s="51">
        <v>75.146000000000001</v>
      </c>
      <c r="AC1322" s="52">
        <f t="shared" si="552"/>
        <v>0.12409413183238287</v>
      </c>
    </row>
    <row r="1323" spans="27:29">
      <c r="AA1323" s="50">
        <v>548.20000000000005</v>
      </c>
      <c r="AB1323" s="51">
        <v>74.808000000000007</v>
      </c>
      <c r="AC1323" s="52">
        <f t="shared" si="552"/>
        <v>0.12605195601155408</v>
      </c>
    </row>
    <row r="1324" spans="27:29">
      <c r="AA1324" s="50">
        <v>548.1</v>
      </c>
      <c r="AB1324" s="51">
        <v>74.393000000000001</v>
      </c>
      <c r="AC1324" s="52">
        <f t="shared" si="552"/>
        <v>0.12846792741643223</v>
      </c>
    </row>
    <row r="1325" spans="27:29">
      <c r="AA1325" s="50">
        <v>548</v>
      </c>
      <c r="AB1325" s="51">
        <v>74.100999999999999</v>
      </c>
      <c r="AC1325" s="52">
        <f t="shared" si="552"/>
        <v>0.13017593113603668</v>
      </c>
    </row>
    <row r="1326" spans="27:29">
      <c r="AA1326" s="50">
        <v>547.9</v>
      </c>
      <c r="AB1326" s="51">
        <v>73.793000000000006</v>
      </c>
      <c r="AC1326" s="52">
        <f t="shared" si="552"/>
        <v>0.131984833374232</v>
      </c>
    </row>
    <row r="1327" spans="27:29">
      <c r="AA1327" s="50">
        <v>547.79999999999995</v>
      </c>
      <c r="AB1327" s="51">
        <v>73.489999999999995</v>
      </c>
      <c r="AC1327" s="52">
        <f t="shared" si="552"/>
        <v>0.13377175262035279</v>
      </c>
    </row>
    <row r="1328" spans="27:29">
      <c r="AA1328" s="50">
        <v>547.70000000000005</v>
      </c>
      <c r="AB1328" s="51">
        <v>73.225999999999999</v>
      </c>
      <c r="AC1328" s="52">
        <f t="shared" si="552"/>
        <v>0.13533468872773688</v>
      </c>
    </row>
    <row r="1329" spans="27:29">
      <c r="AA1329" s="50">
        <v>547.6</v>
      </c>
      <c r="AB1329" s="51">
        <v>73.033000000000001</v>
      </c>
      <c r="AC1329" s="52">
        <f t="shared" si="552"/>
        <v>0.136480859338204</v>
      </c>
    </row>
    <row r="1330" spans="27:29">
      <c r="AA1330" s="50">
        <v>547.5</v>
      </c>
      <c r="AB1330" s="51">
        <v>72.8</v>
      </c>
      <c r="AC1330" s="52">
        <f t="shared" si="552"/>
        <v>0.13786862068696282</v>
      </c>
    </row>
    <row r="1331" spans="27:29">
      <c r="AA1331" s="50">
        <v>547.4</v>
      </c>
      <c r="AB1331" s="51">
        <v>72.581999999999994</v>
      </c>
      <c r="AC1331" s="52">
        <f t="shared" si="552"/>
        <v>0.13917106896824419</v>
      </c>
    </row>
    <row r="1332" spans="27:29">
      <c r="AA1332" s="50">
        <v>547.29999999999995</v>
      </c>
      <c r="AB1332" s="51">
        <v>72.373999999999995</v>
      </c>
      <c r="AC1332" s="52">
        <f t="shared" si="552"/>
        <v>0.14041742392056597</v>
      </c>
    </row>
    <row r="1333" spans="27:29">
      <c r="AA1333" s="50">
        <v>547.20000000000005</v>
      </c>
      <c r="AB1333" s="51">
        <v>72.180999999999997</v>
      </c>
      <c r="AC1333" s="52">
        <f t="shared" si="552"/>
        <v>0.14157710549245073</v>
      </c>
    </row>
    <row r="1334" spans="27:29">
      <c r="AA1334" s="50">
        <v>547.1</v>
      </c>
      <c r="AB1334" s="51">
        <v>72.070999999999998</v>
      </c>
      <c r="AC1334" s="52">
        <f t="shared" si="552"/>
        <v>0.14223945197317989</v>
      </c>
    </row>
    <row r="1335" spans="27:29">
      <c r="AA1335" s="50">
        <v>547</v>
      </c>
      <c r="AB1335" s="51">
        <v>71.933999999999997</v>
      </c>
      <c r="AC1335" s="52">
        <f t="shared" si="552"/>
        <v>0.1430657894193931</v>
      </c>
    </row>
    <row r="1336" spans="27:29">
      <c r="AA1336" s="50">
        <v>546.9</v>
      </c>
      <c r="AB1336" s="51">
        <v>71.796999999999997</v>
      </c>
      <c r="AC1336" s="52">
        <f t="shared" si="552"/>
        <v>0.14389370214579827</v>
      </c>
    </row>
    <row r="1337" spans="27:29">
      <c r="AA1337" s="50">
        <v>546.79999999999995</v>
      </c>
      <c r="AB1337" s="51">
        <v>71.709000000000003</v>
      </c>
      <c r="AC1337" s="52">
        <f t="shared" si="552"/>
        <v>0.14442633380158798</v>
      </c>
    </row>
    <row r="1338" spans="27:29">
      <c r="AA1338" s="50">
        <v>546.70000000000005</v>
      </c>
      <c r="AB1338" s="51">
        <v>71.625</v>
      </c>
      <c r="AC1338" s="52">
        <f t="shared" si="552"/>
        <v>0.14493536502455359</v>
      </c>
    </row>
    <row r="1339" spans="27:29">
      <c r="AA1339" s="50">
        <v>546.6</v>
      </c>
      <c r="AB1339" s="51">
        <v>71.584999999999994</v>
      </c>
      <c r="AC1339" s="52">
        <f t="shared" si="552"/>
        <v>0.14517797070471392</v>
      </c>
    </row>
    <row r="1340" spans="27:29">
      <c r="AA1340" s="50">
        <v>546.5</v>
      </c>
      <c r="AB1340" s="51">
        <v>71.534999999999997</v>
      </c>
      <c r="AC1340" s="52">
        <f t="shared" si="552"/>
        <v>0.14548141851045171</v>
      </c>
    </row>
    <row r="1341" spans="27:29">
      <c r="AA1341" s="50">
        <v>546.4</v>
      </c>
      <c r="AB1341" s="51">
        <v>71.494</v>
      </c>
      <c r="AC1341" s="52">
        <f t="shared" si="552"/>
        <v>0.14573040402032375</v>
      </c>
    </row>
    <row r="1342" spans="27:29">
      <c r="AA1342" s="50">
        <v>546.29999999999995</v>
      </c>
      <c r="AB1342" s="51">
        <v>71.472999999999999</v>
      </c>
      <c r="AC1342" s="52">
        <f t="shared" si="552"/>
        <v>0.14585798848646717</v>
      </c>
    </row>
    <row r="1343" spans="27:29">
      <c r="AA1343" s="50">
        <v>546.20000000000005</v>
      </c>
      <c r="AB1343" s="51">
        <v>71.515000000000001</v>
      </c>
      <c r="AC1343" s="52">
        <f t="shared" si="552"/>
        <v>0.14560285702418338</v>
      </c>
    </row>
    <row r="1344" spans="27:29">
      <c r="AA1344" s="50">
        <v>546.1</v>
      </c>
      <c r="AB1344" s="51">
        <v>71.478999999999999</v>
      </c>
      <c r="AC1344" s="52">
        <f t="shared" si="552"/>
        <v>0.14582153195710132</v>
      </c>
    </row>
    <row r="1345" spans="27:29">
      <c r="AA1345" s="50">
        <v>546</v>
      </c>
      <c r="AB1345" s="51">
        <v>71.433999999999997</v>
      </c>
      <c r="AC1345" s="52">
        <f t="shared" si="552"/>
        <v>0.14609503055179232</v>
      </c>
    </row>
    <row r="1346" spans="27:29">
      <c r="AA1346" s="50">
        <v>545.9</v>
      </c>
      <c r="AB1346" s="51">
        <v>71.432000000000002</v>
      </c>
      <c r="AC1346" s="52">
        <f t="shared" si="552"/>
        <v>0.14610719004339787</v>
      </c>
    </row>
    <row r="1347" spans="27:29">
      <c r="AA1347" s="50">
        <v>545.79999999999995</v>
      </c>
      <c r="AB1347" s="51">
        <v>71.433999999999997</v>
      </c>
      <c r="AC1347" s="52">
        <f t="shared" si="552"/>
        <v>0.14609503055179232</v>
      </c>
    </row>
    <row r="1348" spans="27:29">
      <c r="AA1348" s="50">
        <v>545.70000000000005</v>
      </c>
      <c r="AB1348" s="51">
        <v>71.483999999999995</v>
      </c>
      <c r="AC1348" s="52">
        <f t="shared" si="552"/>
        <v>0.1457911538535305</v>
      </c>
    </row>
    <row r="1349" spans="27:29">
      <c r="AA1349" s="50">
        <v>545.6</v>
      </c>
      <c r="AB1349" s="51">
        <v>71.475999999999999</v>
      </c>
      <c r="AC1349" s="52">
        <f t="shared" si="552"/>
        <v>0.14583975983924471</v>
      </c>
    </row>
    <row r="1350" spans="27:29">
      <c r="AA1350" s="50">
        <v>545.5</v>
      </c>
      <c r="AB1350" s="51">
        <v>71.525000000000006</v>
      </c>
      <c r="AC1350" s="52">
        <f t="shared" si="552"/>
        <v>0.14554213352269971</v>
      </c>
    </row>
    <row r="1351" spans="27:29">
      <c r="AA1351" s="50">
        <v>545.4</v>
      </c>
      <c r="AB1351" s="51">
        <v>71.536000000000001</v>
      </c>
      <c r="AC1351" s="52">
        <f t="shared" si="552"/>
        <v>0.14547534747604343</v>
      </c>
    </row>
    <row r="1352" spans="27:29">
      <c r="AA1352" s="50">
        <v>545.29999999999995</v>
      </c>
      <c r="AB1352" s="51">
        <v>71.561999999999998</v>
      </c>
      <c r="AC1352" s="52">
        <f t="shared" si="552"/>
        <v>0.14531753036254447</v>
      </c>
    </row>
    <row r="1353" spans="27:29">
      <c r="AA1353" s="50">
        <v>545.20000000000005</v>
      </c>
      <c r="AB1353" s="51">
        <v>71.611000000000004</v>
      </c>
      <c r="AC1353" s="52">
        <f t="shared" si="552"/>
        <v>0.14502026159756606</v>
      </c>
    </row>
    <row r="1354" spans="27:29">
      <c r="AA1354" s="50">
        <v>545.1</v>
      </c>
      <c r="AB1354" s="51">
        <v>71.64</v>
      </c>
      <c r="AC1354" s="52">
        <f t="shared" ref="AC1354:AC1417" si="553">-LOG(AB1354/100)</f>
        <v>0.14484442282300605</v>
      </c>
    </row>
    <row r="1355" spans="27:29">
      <c r="AA1355" s="50">
        <v>545</v>
      </c>
      <c r="AB1355" s="51">
        <v>71.671000000000006</v>
      </c>
      <c r="AC1355" s="52">
        <f t="shared" si="553"/>
        <v>0.14465653593157432</v>
      </c>
    </row>
    <row r="1356" spans="27:29">
      <c r="AA1356" s="50">
        <v>544.9</v>
      </c>
      <c r="AB1356" s="51">
        <v>71.713999999999999</v>
      </c>
      <c r="AC1356" s="52">
        <f t="shared" si="553"/>
        <v>0.14439605312958426</v>
      </c>
    </row>
    <row r="1357" spans="27:29">
      <c r="AA1357" s="50">
        <v>544.79999999999995</v>
      </c>
      <c r="AB1357" s="51">
        <v>71.722999999999999</v>
      </c>
      <c r="AC1357" s="52">
        <f t="shared" si="553"/>
        <v>0.14434155323984504</v>
      </c>
    </row>
    <row r="1358" spans="27:29">
      <c r="AA1358" s="50">
        <v>544.70000000000005</v>
      </c>
      <c r="AB1358" s="51">
        <v>71.731999999999999</v>
      </c>
      <c r="AC1358" s="52">
        <f t="shared" si="553"/>
        <v>0.14428706018847348</v>
      </c>
    </row>
    <row r="1359" spans="27:29">
      <c r="AA1359" s="50">
        <v>544.6</v>
      </c>
      <c r="AB1359" s="51">
        <v>71.722999999999999</v>
      </c>
      <c r="AC1359" s="52">
        <f t="shared" si="553"/>
        <v>0.14434155323984504</v>
      </c>
    </row>
    <row r="1360" spans="27:29">
      <c r="AA1360" s="50">
        <v>544.5</v>
      </c>
      <c r="AB1360" s="51">
        <v>71.789000000000001</v>
      </c>
      <c r="AC1360" s="52">
        <f t="shared" si="553"/>
        <v>0.14394209622124882</v>
      </c>
    </row>
    <row r="1361" spans="27:29">
      <c r="AA1361" s="50">
        <v>544.4</v>
      </c>
      <c r="AB1361" s="51">
        <v>71.795000000000002</v>
      </c>
      <c r="AC1361" s="52">
        <f t="shared" si="553"/>
        <v>0.14390580015911189</v>
      </c>
    </row>
    <row r="1362" spans="27:29">
      <c r="AA1362" s="50">
        <v>544.29999999999995</v>
      </c>
      <c r="AB1362" s="51">
        <v>71.816000000000003</v>
      </c>
      <c r="AC1362" s="52">
        <f t="shared" si="553"/>
        <v>0.1437787878246114</v>
      </c>
    </row>
    <row r="1363" spans="27:29">
      <c r="AA1363" s="50">
        <v>544.20000000000005</v>
      </c>
      <c r="AB1363" s="51">
        <v>71.822000000000003</v>
      </c>
      <c r="AC1363" s="52">
        <f t="shared" si="553"/>
        <v>0.14374250540780056</v>
      </c>
    </row>
    <row r="1364" spans="27:29">
      <c r="AA1364" s="50">
        <v>544.1</v>
      </c>
      <c r="AB1364" s="51">
        <v>71.778999999999996</v>
      </c>
      <c r="AC1364" s="52">
        <f t="shared" si="553"/>
        <v>0.14400259639992458</v>
      </c>
    </row>
    <row r="1365" spans="27:29">
      <c r="AA1365" s="50">
        <v>544</v>
      </c>
      <c r="AB1365" s="51">
        <v>71.727999999999994</v>
      </c>
      <c r="AC1365" s="52">
        <f t="shared" si="553"/>
        <v>0.1443112784782834</v>
      </c>
    </row>
    <row r="1366" spans="27:29">
      <c r="AA1366" s="50">
        <v>543.9</v>
      </c>
      <c r="AB1366" s="51">
        <v>71.671999999999997</v>
      </c>
      <c r="AC1366" s="52">
        <f t="shared" si="553"/>
        <v>0.14465047641723586</v>
      </c>
    </row>
    <row r="1367" spans="27:29">
      <c r="AA1367" s="50">
        <v>543.79999999999995</v>
      </c>
      <c r="AB1367" s="51">
        <v>71.614999999999995</v>
      </c>
      <c r="AC1367" s="52">
        <f t="shared" si="553"/>
        <v>0.14499600374036051</v>
      </c>
    </row>
    <row r="1368" spans="27:29">
      <c r="AA1368" s="50">
        <v>543.70000000000005</v>
      </c>
      <c r="AB1368" s="51">
        <v>71.55</v>
      </c>
      <c r="AC1368" s="52">
        <f t="shared" si="553"/>
        <v>0.14539036190420482</v>
      </c>
    </row>
    <row r="1369" spans="27:29">
      <c r="AA1369" s="50">
        <v>543.6</v>
      </c>
      <c r="AB1369" s="51">
        <v>71.459999999999994</v>
      </c>
      <c r="AC1369" s="52">
        <f t="shared" si="553"/>
        <v>0.14593698813357892</v>
      </c>
    </row>
    <row r="1370" spans="27:29">
      <c r="AA1370" s="50">
        <v>543.5</v>
      </c>
      <c r="AB1370" s="51">
        <v>71.38</v>
      </c>
      <c r="AC1370" s="52">
        <f t="shared" si="553"/>
        <v>0.14642345638035839</v>
      </c>
    </row>
    <row r="1371" spans="27:29">
      <c r="AA1371" s="50">
        <v>543.4</v>
      </c>
      <c r="AB1371" s="51">
        <v>71.234999999999999</v>
      </c>
      <c r="AC1371" s="52">
        <f t="shared" si="553"/>
        <v>0.14730657136230038</v>
      </c>
    </row>
    <row r="1372" spans="27:29">
      <c r="AA1372" s="50">
        <v>543.29999999999995</v>
      </c>
      <c r="AB1372" s="51">
        <v>71.099999999999994</v>
      </c>
      <c r="AC1372" s="52">
        <f t="shared" si="553"/>
        <v>0.14813039927023372</v>
      </c>
    </row>
    <row r="1373" spans="27:29">
      <c r="AA1373" s="50">
        <v>543.20000000000005</v>
      </c>
      <c r="AB1373" s="51">
        <v>70.917000000000002</v>
      </c>
      <c r="AC1373" s="52">
        <f t="shared" si="553"/>
        <v>0.14924964463066923</v>
      </c>
    </row>
    <row r="1374" spans="27:29">
      <c r="AA1374" s="50">
        <v>543.1</v>
      </c>
      <c r="AB1374" s="51">
        <v>70.817999999999998</v>
      </c>
      <c r="AC1374" s="52">
        <f t="shared" si="553"/>
        <v>0.14985634249218022</v>
      </c>
    </row>
    <row r="1375" spans="27:29">
      <c r="AA1375" s="50">
        <v>543</v>
      </c>
      <c r="AB1375" s="51">
        <v>70.616</v>
      </c>
      <c r="AC1375" s="52">
        <f t="shared" si="553"/>
        <v>0.15109688642071795</v>
      </c>
    </row>
    <row r="1376" spans="27:29">
      <c r="AA1376" s="50">
        <v>542.9</v>
      </c>
      <c r="AB1376" s="51">
        <v>70.41</v>
      </c>
      <c r="AC1376" s="52">
        <f t="shared" si="553"/>
        <v>0.15236565568174501</v>
      </c>
    </row>
    <row r="1377" spans="27:29">
      <c r="AA1377" s="50">
        <v>542.79999999999995</v>
      </c>
      <c r="AB1377" s="51">
        <v>70.085999999999999</v>
      </c>
      <c r="AC1377" s="52">
        <f t="shared" si="553"/>
        <v>0.1543687256848737</v>
      </c>
    </row>
    <row r="1378" spans="27:29">
      <c r="AA1378" s="50">
        <v>542.70000000000005</v>
      </c>
      <c r="AB1378" s="51">
        <v>69.8</v>
      </c>
      <c r="AC1378" s="52">
        <f t="shared" si="553"/>
        <v>0.15614457737683893</v>
      </c>
    </row>
    <row r="1379" spans="27:29">
      <c r="AA1379" s="50">
        <v>542.6</v>
      </c>
      <c r="AB1379" s="51">
        <v>69.484999999999999</v>
      </c>
      <c r="AC1379" s="52">
        <f t="shared" si="553"/>
        <v>0.15810893814836643</v>
      </c>
    </row>
    <row r="1380" spans="27:29">
      <c r="AA1380" s="50">
        <v>542.5</v>
      </c>
      <c r="AB1380" s="51">
        <v>69.147000000000006</v>
      </c>
      <c r="AC1380" s="52">
        <f t="shared" si="553"/>
        <v>0.16022665737258299</v>
      </c>
    </row>
    <row r="1381" spans="27:29">
      <c r="AA1381" s="50">
        <v>542.4</v>
      </c>
      <c r="AB1381" s="51">
        <v>68.858000000000004</v>
      </c>
      <c r="AC1381" s="52">
        <f t="shared" si="553"/>
        <v>0.16204559565367879</v>
      </c>
    </row>
    <row r="1382" spans="27:29">
      <c r="AA1382" s="50">
        <v>542.29999999999995</v>
      </c>
      <c r="AB1382" s="51">
        <v>68.533000000000001</v>
      </c>
      <c r="AC1382" s="52">
        <f t="shared" si="553"/>
        <v>0.16410025672880793</v>
      </c>
    </row>
    <row r="1383" spans="27:29">
      <c r="AA1383" s="50">
        <v>542.20000000000005</v>
      </c>
      <c r="AB1383" s="51">
        <v>68.158000000000001</v>
      </c>
      <c r="AC1383" s="52">
        <f t="shared" si="553"/>
        <v>0.1664831618110077</v>
      </c>
    </row>
    <row r="1384" spans="27:29">
      <c r="AA1384" s="50">
        <v>542.1</v>
      </c>
      <c r="AB1384" s="51">
        <v>67.775000000000006</v>
      </c>
      <c r="AC1384" s="52">
        <f t="shared" si="553"/>
        <v>0.1689304737474768</v>
      </c>
    </row>
    <row r="1385" spans="27:29">
      <c r="AA1385" s="50">
        <v>542</v>
      </c>
      <c r="AB1385" s="51">
        <v>67.385000000000005</v>
      </c>
      <c r="AC1385" s="52">
        <f t="shared" si="553"/>
        <v>0.17143676729604776</v>
      </c>
    </row>
    <row r="1386" spans="27:29">
      <c r="AA1386" s="50">
        <v>541.9</v>
      </c>
      <c r="AB1386" s="51">
        <v>66.991</v>
      </c>
      <c r="AC1386" s="52">
        <f t="shared" si="553"/>
        <v>0.17398353928248597</v>
      </c>
    </row>
    <row r="1387" spans="27:29">
      <c r="AA1387" s="50">
        <v>541.79999999999995</v>
      </c>
      <c r="AB1387" s="51">
        <v>66.591999999999999</v>
      </c>
      <c r="AC1387" s="52">
        <f t="shared" si="553"/>
        <v>0.17657794146846711</v>
      </c>
    </row>
    <row r="1388" spans="27:29">
      <c r="AA1388" s="50">
        <v>541.70000000000005</v>
      </c>
      <c r="AB1388" s="51">
        <v>66.168000000000006</v>
      </c>
      <c r="AC1388" s="52">
        <f t="shared" si="553"/>
        <v>0.17935199218262024</v>
      </c>
    </row>
    <row r="1389" spans="27:29">
      <c r="AA1389" s="50">
        <v>541.6</v>
      </c>
      <c r="AB1389" s="51">
        <v>65.712999999999994</v>
      </c>
      <c r="AC1389" s="52">
        <f t="shared" si="553"/>
        <v>0.18234870548175761</v>
      </c>
    </row>
    <row r="1390" spans="27:29">
      <c r="AA1390" s="50">
        <v>541.5</v>
      </c>
      <c r="AB1390" s="51">
        <v>65.283000000000001</v>
      </c>
      <c r="AC1390" s="52">
        <f t="shared" si="553"/>
        <v>0.18519989632666695</v>
      </c>
    </row>
    <row r="1391" spans="27:29">
      <c r="AA1391" s="50">
        <v>541.4</v>
      </c>
      <c r="AB1391" s="51">
        <v>64.834999999999994</v>
      </c>
      <c r="AC1391" s="52">
        <f t="shared" si="553"/>
        <v>0.1881904848188663</v>
      </c>
    </row>
    <row r="1392" spans="27:29">
      <c r="AA1392" s="50">
        <v>541.29999999999995</v>
      </c>
      <c r="AB1392" s="51">
        <v>64.382000000000005</v>
      </c>
      <c r="AC1392" s="52">
        <f t="shared" si="553"/>
        <v>0.19123553626375583</v>
      </c>
    </row>
    <row r="1393" spans="27:29">
      <c r="AA1393" s="50">
        <v>541.20000000000005</v>
      </c>
      <c r="AB1393" s="51">
        <v>63.93</v>
      </c>
      <c r="AC1393" s="52">
        <f t="shared" si="553"/>
        <v>0.19429529556613559</v>
      </c>
    </row>
    <row r="1394" spans="27:29">
      <c r="AA1394" s="50">
        <v>541.1</v>
      </c>
      <c r="AB1394" s="51">
        <v>63.472000000000001</v>
      </c>
      <c r="AC1394" s="52">
        <f t="shared" si="553"/>
        <v>0.19741781686992466</v>
      </c>
    </row>
    <row r="1395" spans="27:29">
      <c r="AA1395" s="50">
        <v>541</v>
      </c>
      <c r="AB1395" s="51">
        <v>63.058999999999997</v>
      </c>
      <c r="AC1395" s="52">
        <f t="shared" si="553"/>
        <v>0.20025292064687472</v>
      </c>
    </row>
    <row r="1396" spans="27:29">
      <c r="AA1396" s="50">
        <v>540.9</v>
      </c>
      <c r="AB1396" s="51">
        <v>62.576000000000001</v>
      </c>
      <c r="AC1396" s="52">
        <f t="shared" si="553"/>
        <v>0.20359220139194453</v>
      </c>
    </row>
    <row r="1397" spans="27:29">
      <c r="AA1397" s="50">
        <v>540.79999999999995</v>
      </c>
      <c r="AB1397" s="51">
        <v>62.033999999999999</v>
      </c>
      <c r="AC1397" s="52">
        <f t="shared" si="553"/>
        <v>0.20737021429015004</v>
      </c>
    </row>
    <row r="1398" spans="27:29">
      <c r="AA1398" s="50">
        <v>540.70000000000005</v>
      </c>
      <c r="AB1398" s="51">
        <v>61.503999999999998</v>
      </c>
      <c r="AC1398" s="52">
        <f t="shared" si="553"/>
        <v>0.21109663834756745</v>
      </c>
    </row>
    <row r="1399" spans="27:29">
      <c r="AA1399" s="50">
        <v>540.6</v>
      </c>
      <c r="AB1399" s="51">
        <v>60.905000000000001</v>
      </c>
      <c r="AC1399" s="52">
        <f t="shared" si="553"/>
        <v>0.21534705246936617</v>
      </c>
    </row>
    <row r="1400" spans="27:29">
      <c r="AA1400" s="50">
        <v>540.5</v>
      </c>
      <c r="AB1400" s="51">
        <v>60.311</v>
      </c>
      <c r="AC1400" s="52">
        <f t="shared" si="553"/>
        <v>0.21960347055273438</v>
      </c>
    </row>
    <row r="1401" spans="27:29">
      <c r="AA1401" s="50">
        <v>540.4</v>
      </c>
      <c r="AB1401" s="51">
        <v>59.692</v>
      </c>
      <c r="AC1401" s="52">
        <f t="shared" si="553"/>
        <v>0.22408386968576804</v>
      </c>
    </row>
    <row r="1402" spans="27:29">
      <c r="AA1402" s="50">
        <v>540.29999999999995</v>
      </c>
      <c r="AB1402" s="51">
        <v>59.084000000000003</v>
      </c>
      <c r="AC1402" s="52">
        <f t="shared" si="553"/>
        <v>0.22853011053133693</v>
      </c>
    </row>
    <row r="1403" spans="27:29">
      <c r="AA1403" s="50">
        <v>540.20000000000005</v>
      </c>
      <c r="AB1403" s="51">
        <v>58.466999999999999</v>
      </c>
      <c r="AC1403" s="52">
        <f t="shared" si="553"/>
        <v>0.23308918967342693</v>
      </c>
    </row>
    <row r="1404" spans="27:29">
      <c r="AA1404" s="50">
        <v>540.1</v>
      </c>
      <c r="AB1404" s="51">
        <v>57.784999999999997</v>
      </c>
      <c r="AC1404" s="52">
        <f t="shared" si="553"/>
        <v>0.23818488238693075</v>
      </c>
    </row>
    <row r="1405" spans="27:29">
      <c r="AA1405" s="50">
        <v>540</v>
      </c>
      <c r="AB1405" s="51">
        <v>57.036000000000001</v>
      </c>
      <c r="AC1405" s="52">
        <f t="shared" si="553"/>
        <v>0.24385093965761667</v>
      </c>
    </row>
    <row r="1406" spans="27:29">
      <c r="AA1406" s="50">
        <v>539.9</v>
      </c>
      <c r="AB1406" s="51">
        <v>56.295000000000002</v>
      </c>
      <c r="AC1406" s="52">
        <f t="shared" si="553"/>
        <v>0.24953017653123633</v>
      </c>
    </row>
    <row r="1407" spans="27:29">
      <c r="AA1407" s="50">
        <v>539.79999999999995</v>
      </c>
      <c r="AB1407" s="51">
        <v>55.579000000000001</v>
      </c>
      <c r="AC1407" s="52">
        <f t="shared" si="553"/>
        <v>0.25508927149151628</v>
      </c>
    </row>
    <row r="1408" spans="27:29">
      <c r="AA1408" s="50">
        <v>539.70000000000005</v>
      </c>
      <c r="AB1408" s="51">
        <v>54.890999999999998</v>
      </c>
      <c r="AC1408" s="52">
        <f t="shared" si="553"/>
        <v>0.26049885720297405</v>
      </c>
    </row>
    <row r="1409" spans="27:29">
      <c r="AA1409" s="50">
        <v>539.6</v>
      </c>
      <c r="AB1409" s="51">
        <v>54.085999999999999</v>
      </c>
      <c r="AC1409" s="52">
        <f t="shared" si="553"/>
        <v>0.26691513617974461</v>
      </c>
    </row>
    <row r="1410" spans="27:29">
      <c r="AA1410" s="50">
        <v>539.5</v>
      </c>
      <c r="AB1410" s="51">
        <v>53.283999999999999</v>
      </c>
      <c r="AC1410" s="52">
        <f t="shared" si="553"/>
        <v>0.27340318037076033</v>
      </c>
    </row>
    <row r="1411" spans="27:29">
      <c r="AA1411" s="50">
        <v>539.4</v>
      </c>
      <c r="AB1411" s="51">
        <v>52.411999999999999</v>
      </c>
      <c r="AC1411" s="52">
        <f t="shared" si="553"/>
        <v>0.28056926765113172</v>
      </c>
    </row>
    <row r="1412" spans="27:29">
      <c r="AA1412" s="50">
        <v>539.29999999999995</v>
      </c>
      <c r="AB1412" s="51">
        <v>51.607999999999997</v>
      </c>
      <c r="AC1412" s="52">
        <f t="shared" si="553"/>
        <v>0.28728297111400669</v>
      </c>
    </row>
    <row r="1413" spans="27:29">
      <c r="AA1413" s="50">
        <v>539.20000000000005</v>
      </c>
      <c r="AB1413" s="51">
        <v>50.761000000000003</v>
      </c>
      <c r="AC1413" s="52">
        <f t="shared" si="553"/>
        <v>0.29446983082075207</v>
      </c>
    </row>
    <row r="1414" spans="27:29">
      <c r="AA1414" s="50">
        <v>539.1</v>
      </c>
      <c r="AB1414" s="51">
        <v>49.945999999999998</v>
      </c>
      <c r="AC1414" s="52">
        <f t="shared" si="553"/>
        <v>0.30149928716748842</v>
      </c>
    </row>
    <row r="1415" spans="27:29">
      <c r="AA1415" s="50">
        <v>539</v>
      </c>
      <c r="AB1415" s="51">
        <v>49.115000000000002</v>
      </c>
      <c r="AC1415" s="52">
        <f t="shared" si="553"/>
        <v>0.30878585161720973</v>
      </c>
    </row>
    <row r="1416" spans="27:29">
      <c r="AA1416" s="50">
        <v>538.9</v>
      </c>
      <c r="AB1416" s="51">
        <v>48.319000000000003</v>
      </c>
      <c r="AC1416" s="52">
        <f t="shared" si="553"/>
        <v>0.31588206236241934</v>
      </c>
    </row>
    <row r="1417" spans="27:29">
      <c r="AA1417" s="50">
        <v>538.79999999999995</v>
      </c>
      <c r="AB1417" s="51">
        <v>47.506999999999998</v>
      </c>
      <c r="AC1417" s="52">
        <f t="shared" si="553"/>
        <v>0.32324239379848491</v>
      </c>
    </row>
    <row r="1418" spans="27:29">
      <c r="AA1418" s="50">
        <v>538.70000000000005</v>
      </c>
      <c r="AB1418" s="51">
        <v>46.728000000000002</v>
      </c>
      <c r="AC1418" s="52">
        <f t="shared" ref="AC1418:AC1481" si="554">-LOG(AB1418/100)</f>
        <v>0.33042280676836228</v>
      </c>
    </row>
    <row r="1419" spans="27:29">
      <c r="AA1419" s="50">
        <v>538.6</v>
      </c>
      <c r="AB1419" s="51">
        <v>45.95</v>
      </c>
      <c r="AC1419" s="52">
        <f t="shared" si="554"/>
        <v>0.33771448427786993</v>
      </c>
    </row>
    <row r="1420" spans="27:29">
      <c r="AA1420" s="50">
        <v>538.5</v>
      </c>
      <c r="AB1420" s="51">
        <v>45.23</v>
      </c>
      <c r="AC1420" s="52">
        <f t="shared" si="554"/>
        <v>0.34457341225408139</v>
      </c>
    </row>
    <row r="1421" spans="27:29">
      <c r="AA1421" s="50">
        <v>538.4</v>
      </c>
      <c r="AB1421" s="51">
        <v>44.588999999999999</v>
      </c>
      <c r="AC1421" s="52">
        <f t="shared" si="554"/>
        <v>0.35077226748784152</v>
      </c>
    </row>
    <row r="1422" spans="27:29">
      <c r="AA1422" s="50">
        <v>538.29999999999995</v>
      </c>
      <c r="AB1422" s="51">
        <v>43.915999999999997</v>
      </c>
      <c r="AC1422" s="52">
        <f t="shared" si="554"/>
        <v>0.35737722359072588</v>
      </c>
    </row>
    <row r="1423" spans="27:29">
      <c r="AA1423" s="50">
        <v>538.20000000000005</v>
      </c>
      <c r="AB1423" s="51">
        <v>43.307000000000002</v>
      </c>
      <c r="AC1423" s="52">
        <f t="shared" si="554"/>
        <v>0.36344190005154542</v>
      </c>
    </row>
    <row r="1424" spans="27:29">
      <c r="AA1424" s="50">
        <v>538.1</v>
      </c>
      <c r="AB1424" s="51">
        <v>42.688000000000002</v>
      </c>
      <c r="AC1424" s="52">
        <f t="shared" si="554"/>
        <v>0.36969419209956383</v>
      </c>
    </row>
    <row r="1425" spans="27:29">
      <c r="AA1425" s="50">
        <v>538</v>
      </c>
      <c r="AB1425" s="51">
        <v>42.177999999999997</v>
      </c>
      <c r="AC1425" s="52">
        <f t="shared" si="554"/>
        <v>0.37491401752106762</v>
      </c>
    </row>
    <row r="1426" spans="27:29">
      <c r="AA1426" s="50">
        <v>537.9</v>
      </c>
      <c r="AB1426" s="51">
        <v>41.665999999999997</v>
      </c>
      <c r="AC1426" s="52">
        <f t="shared" si="554"/>
        <v>0.38021819047890681</v>
      </c>
    </row>
    <row r="1427" spans="27:29">
      <c r="AA1427" s="50">
        <v>537.79999999999995</v>
      </c>
      <c r="AB1427" s="51">
        <v>41.223999999999997</v>
      </c>
      <c r="AC1427" s="52">
        <f t="shared" si="554"/>
        <v>0.38484987054698172</v>
      </c>
    </row>
    <row r="1428" spans="27:29">
      <c r="AA1428" s="50">
        <v>537.70000000000005</v>
      </c>
      <c r="AB1428" s="51">
        <v>40.838000000000001</v>
      </c>
      <c r="AC1428" s="52">
        <f t="shared" si="554"/>
        <v>0.38893553520002927</v>
      </c>
    </row>
    <row r="1429" spans="27:29">
      <c r="AA1429" s="50">
        <v>537.6</v>
      </c>
      <c r="AB1429" s="51">
        <v>40.462000000000003</v>
      </c>
      <c r="AC1429" s="52">
        <f t="shared" si="554"/>
        <v>0.39295265425190046</v>
      </c>
    </row>
    <row r="1430" spans="27:29">
      <c r="AA1430" s="50">
        <v>537.5</v>
      </c>
      <c r="AB1430" s="51">
        <v>40.130000000000003</v>
      </c>
      <c r="AC1430" s="52">
        <f t="shared" si="554"/>
        <v>0.3965308402661612</v>
      </c>
    </row>
    <row r="1431" spans="27:29">
      <c r="AA1431" s="50">
        <v>537.4</v>
      </c>
      <c r="AB1431" s="51">
        <v>39.841999999999999</v>
      </c>
      <c r="AC1431" s="52">
        <f t="shared" si="554"/>
        <v>0.39965886886373536</v>
      </c>
    </row>
    <row r="1432" spans="27:29">
      <c r="AA1432" s="50">
        <v>537.29999999999995</v>
      </c>
      <c r="AB1432" s="51">
        <v>39.582000000000001</v>
      </c>
      <c r="AC1432" s="52">
        <f t="shared" si="554"/>
        <v>0.40250226553590357</v>
      </c>
    </row>
    <row r="1433" spans="27:29">
      <c r="AA1433" s="50">
        <v>537.20000000000005</v>
      </c>
      <c r="AB1433" s="51">
        <v>39.320999999999998</v>
      </c>
      <c r="AC1433" s="52">
        <f t="shared" si="554"/>
        <v>0.40537544585110663</v>
      </c>
    </row>
    <row r="1434" spans="27:29">
      <c r="AA1434" s="50">
        <v>537.1</v>
      </c>
      <c r="AB1434" s="51">
        <v>39.128999999999998</v>
      </c>
      <c r="AC1434" s="52">
        <f t="shared" si="554"/>
        <v>0.4075012510012207</v>
      </c>
    </row>
    <row r="1435" spans="27:29">
      <c r="AA1435" s="50">
        <v>537</v>
      </c>
      <c r="AB1435" s="51">
        <v>38.944000000000003</v>
      </c>
      <c r="AC1435" s="52">
        <f t="shared" si="554"/>
        <v>0.40955944345002904</v>
      </c>
    </row>
    <row r="1436" spans="27:29">
      <c r="AA1436" s="50">
        <v>536.9</v>
      </c>
      <c r="AB1436" s="51">
        <v>38.790999999999997</v>
      </c>
      <c r="AC1436" s="52">
        <f t="shared" si="554"/>
        <v>0.41126902450192915</v>
      </c>
    </row>
    <row r="1437" spans="27:29">
      <c r="AA1437" s="50">
        <v>536.79999999999995</v>
      </c>
      <c r="AB1437" s="51">
        <v>38.677</v>
      </c>
      <c r="AC1437" s="52">
        <f t="shared" si="554"/>
        <v>0.41254721954182272</v>
      </c>
    </row>
    <row r="1438" spans="27:29">
      <c r="AA1438" s="50">
        <v>536.70000000000005</v>
      </c>
      <c r="AB1438" s="51">
        <v>38.573999999999998</v>
      </c>
      <c r="AC1438" s="52">
        <f t="shared" si="554"/>
        <v>0.4137053238548653</v>
      </c>
    </row>
    <row r="1439" spans="27:29">
      <c r="AA1439" s="50">
        <v>536.6</v>
      </c>
      <c r="AB1439" s="51">
        <v>38.527999999999999</v>
      </c>
      <c r="AC1439" s="52">
        <f t="shared" si="554"/>
        <v>0.41422353475828827</v>
      </c>
    </row>
    <row r="1440" spans="27:29">
      <c r="AA1440" s="50">
        <v>536.5</v>
      </c>
      <c r="AB1440" s="51">
        <v>38.511000000000003</v>
      </c>
      <c r="AC1440" s="52">
        <f t="shared" si="554"/>
        <v>0.41441520407674232</v>
      </c>
    </row>
    <row r="1441" spans="27:29">
      <c r="AA1441" s="50">
        <v>536.4</v>
      </c>
      <c r="AB1441" s="51">
        <v>38.524000000000001</v>
      </c>
      <c r="AC1441" s="52">
        <f t="shared" si="554"/>
        <v>0.41426862581184098</v>
      </c>
    </row>
    <row r="1442" spans="27:29">
      <c r="AA1442" s="50">
        <v>536.29999999999995</v>
      </c>
      <c r="AB1442" s="51">
        <v>38.569000000000003</v>
      </c>
      <c r="AC1442" s="52">
        <f t="shared" si="554"/>
        <v>0.41376162118352905</v>
      </c>
    </row>
    <row r="1443" spans="27:29">
      <c r="AA1443" s="50">
        <v>536.20000000000005</v>
      </c>
      <c r="AB1443" s="51">
        <v>38.613</v>
      </c>
      <c r="AC1443" s="52">
        <f t="shared" si="554"/>
        <v>0.41326645497187792</v>
      </c>
    </row>
    <row r="1444" spans="27:29">
      <c r="AA1444" s="50">
        <v>536.1</v>
      </c>
      <c r="AB1444" s="51">
        <v>38.761000000000003</v>
      </c>
      <c r="AC1444" s="52">
        <f t="shared" si="554"/>
        <v>0.41160502705781393</v>
      </c>
    </row>
    <row r="1445" spans="27:29">
      <c r="AA1445" s="50">
        <v>536</v>
      </c>
      <c r="AB1445" s="51">
        <v>38.951999999999998</v>
      </c>
      <c r="AC1445" s="52">
        <f t="shared" si="554"/>
        <v>0.40947023846216213</v>
      </c>
    </row>
    <row r="1446" spans="27:29">
      <c r="AA1446" s="50">
        <v>535.9</v>
      </c>
      <c r="AB1446" s="51">
        <v>39.192999999999998</v>
      </c>
      <c r="AC1446" s="52">
        <f t="shared" si="554"/>
        <v>0.40679149249075935</v>
      </c>
    </row>
    <row r="1447" spans="27:29">
      <c r="AA1447" s="50">
        <v>535.79999999999995</v>
      </c>
      <c r="AB1447" s="51">
        <v>39.517000000000003</v>
      </c>
      <c r="AC1447" s="52">
        <f t="shared" si="554"/>
        <v>0.4032160330343022</v>
      </c>
    </row>
    <row r="1448" spans="27:29">
      <c r="AA1448" s="50">
        <v>535.70000000000005</v>
      </c>
      <c r="AB1448" s="51">
        <v>39.847000000000001</v>
      </c>
      <c r="AC1448" s="52">
        <f t="shared" si="554"/>
        <v>0.39960437018983141</v>
      </c>
    </row>
    <row r="1449" spans="27:29">
      <c r="AA1449" s="50">
        <v>535.6</v>
      </c>
      <c r="AB1449" s="51">
        <v>40.253999999999998</v>
      </c>
      <c r="AC1449" s="52">
        <f t="shared" si="554"/>
        <v>0.39519095774048713</v>
      </c>
    </row>
    <row r="1450" spans="27:29">
      <c r="AA1450" s="50">
        <v>535.5</v>
      </c>
      <c r="AB1450" s="51">
        <v>40.729999999999997</v>
      </c>
      <c r="AC1450" s="52">
        <f t="shared" si="554"/>
        <v>0.39008558991400233</v>
      </c>
    </row>
    <row r="1451" spans="27:29">
      <c r="AA1451" s="50">
        <v>535.4</v>
      </c>
      <c r="AB1451" s="51">
        <v>41.274999999999999</v>
      </c>
      <c r="AC1451" s="52">
        <f t="shared" si="554"/>
        <v>0.38431291806516876</v>
      </c>
    </row>
    <row r="1452" spans="27:29">
      <c r="AA1452" s="50">
        <v>535.29999999999995</v>
      </c>
      <c r="AB1452" s="51">
        <v>41.890999999999998</v>
      </c>
      <c r="AC1452" s="52">
        <f t="shared" si="554"/>
        <v>0.37787927226474766</v>
      </c>
    </row>
    <row r="1453" spans="27:29">
      <c r="AA1453" s="50">
        <v>535.20000000000005</v>
      </c>
      <c r="AB1453" s="51">
        <v>42.555</v>
      </c>
      <c r="AC1453" s="52">
        <f t="shared" si="554"/>
        <v>0.37104940514846652</v>
      </c>
    </row>
    <row r="1454" spans="27:29">
      <c r="AA1454" s="50">
        <v>535.1</v>
      </c>
      <c r="AB1454" s="51">
        <v>43.253999999999998</v>
      </c>
      <c r="AC1454" s="52">
        <f t="shared" si="554"/>
        <v>0.36397372409279383</v>
      </c>
    </row>
    <row r="1455" spans="27:29">
      <c r="AA1455" s="50">
        <v>535</v>
      </c>
      <c r="AB1455" s="51">
        <v>43.988999999999997</v>
      </c>
      <c r="AC1455" s="52">
        <f t="shared" si="554"/>
        <v>0.35665591070825337</v>
      </c>
    </row>
    <row r="1456" spans="27:29">
      <c r="AA1456" s="50">
        <v>534.9</v>
      </c>
      <c r="AB1456" s="51">
        <v>44.807000000000002</v>
      </c>
      <c r="AC1456" s="52">
        <f t="shared" si="554"/>
        <v>0.34865413278995272</v>
      </c>
    </row>
    <row r="1457" spans="27:29">
      <c r="AA1457" s="50">
        <v>534.79999999999995</v>
      </c>
      <c r="AB1457" s="51">
        <v>45.643999999999998</v>
      </c>
      <c r="AC1457" s="52">
        <f t="shared" si="554"/>
        <v>0.34061630330275328</v>
      </c>
    </row>
    <row r="1458" spans="27:29">
      <c r="AA1458" s="50">
        <v>534.70000000000005</v>
      </c>
      <c r="AB1458" s="51">
        <v>46.591999999999999</v>
      </c>
      <c r="AC1458" s="52">
        <f t="shared" si="554"/>
        <v>0.33168864670307563</v>
      </c>
    </row>
    <row r="1459" spans="27:29">
      <c r="AA1459" s="50">
        <v>534.6</v>
      </c>
      <c r="AB1459" s="51">
        <v>47.499000000000002</v>
      </c>
      <c r="AC1459" s="52">
        <f t="shared" si="554"/>
        <v>0.32331553351310161</v>
      </c>
    </row>
    <row r="1460" spans="27:29">
      <c r="AA1460" s="50">
        <v>534.5</v>
      </c>
      <c r="AB1460" s="51">
        <v>48.582999999999998</v>
      </c>
      <c r="AC1460" s="52">
        <f t="shared" si="554"/>
        <v>0.31351567102083561</v>
      </c>
    </row>
    <row r="1461" spans="27:29">
      <c r="AA1461" s="50">
        <v>534.4</v>
      </c>
      <c r="AB1461" s="51">
        <v>49.564</v>
      </c>
      <c r="AC1461" s="52">
        <f t="shared" si="554"/>
        <v>0.30483365169413085</v>
      </c>
    </row>
    <row r="1462" spans="27:29">
      <c r="AA1462" s="50">
        <v>534.29999999999995</v>
      </c>
      <c r="AB1462" s="51">
        <v>50.552999999999997</v>
      </c>
      <c r="AC1462" s="52">
        <f t="shared" si="554"/>
        <v>0.29625306668453294</v>
      </c>
    </row>
    <row r="1463" spans="27:29">
      <c r="AA1463" s="50">
        <v>534.20000000000005</v>
      </c>
      <c r="AB1463" s="51">
        <v>51.587000000000003</v>
      </c>
      <c r="AC1463" s="52">
        <f t="shared" si="554"/>
        <v>0.28745972743448461</v>
      </c>
    </row>
    <row r="1464" spans="27:29">
      <c r="AA1464" s="50">
        <v>534.1</v>
      </c>
      <c r="AB1464" s="51">
        <v>52.655999999999999</v>
      </c>
      <c r="AC1464" s="52">
        <f t="shared" si="554"/>
        <v>0.27855213504970161</v>
      </c>
    </row>
    <row r="1465" spans="27:29">
      <c r="AA1465" s="50">
        <v>534</v>
      </c>
      <c r="AB1465" s="51">
        <v>53.768000000000001</v>
      </c>
      <c r="AC1465" s="52">
        <f t="shared" si="554"/>
        <v>0.26947611760727708</v>
      </c>
    </row>
    <row r="1466" spans="27:29">
      <c r="AA1466" s="50">
        <v>533.9</v>
      </c>
      <c r="AB1466" s="51">
        <v>54.863999999999997</v>
      </c>
      <c r="AC1466" s="52">
        <f t="shared" si="554"/>
        <v>0.26071253222913104</v>
      </c>
    </row>
    <row r="1467" spans="27:29">
      <c r="AA1467" s="50">
        <v>533.79999999999995</v>
      </c>
      <c r="AB1467" s="51">
        <v>55.965000000000003</v>
      </c>
      <c r="AC1467" s="52">
        <f t="shared" si="554"/>
        <v>0.25208349190348966</v>
      </c>
    </row>
    <row r="1468" spans="27:29">
      <c r="AA1468" s="50">
        <v>533.70000000000005</v>
      </c>
      <c r="AB1468" s="51">
        <v>57.023000000000003</v>
      </c>
      <c r="AC1468" s="52">
        <f t="shared" si="554"/>
        <v>0.24394993804071996</v>
      </c>
    </row>
    <row r="1469" spans="27:29">
      <c r="AA1469" s="50">
        <v>533.6</v>
      </c>
      <c r="AB1469" s="51">
        <v>58.088000000000001</v>
      </c>
      <c r="AC1469" s="52">
        <f t="shared" si="554"/>
        <v>0.23591357625086054</v>
      </c>
    </row>
    <row r="1470" spans="27:29">
      <c r="AA1470" s="50">
        <v>533.5</v>
      </c>
      <c r="AB1470" s="51">
        <v>59.158000000000001</v>
      </c>
      <c r="AC1470" s="52">
        <f t="shared" si="554"/>
        <v>0.22798651695449215</v>
      </c>
    </row>
    <row r="1471" spans="27:29">
      <c r="AA1471" s="50">
        <v>533.4</v>
      </c>
      <c r="AB1471" s="51">
        <v>60.246000000000002</v>
      </c>
      <c r="AC1471" s="52">
        <f t="shared" si="554"/>
        <v>0.22007178253891679</v>
      </c>
    </row>
    <row r="1472" spans="27:29">
      <c r="AA1472" s="50">
        <v>533.29999999999995</v>
      </c>
      <c r="AB1472" s="51">
        <v>61.334000000000003</v>
      </c>
      <c r="AC1472" s="52">
        <f t="shared" si="554"/>
        <v>0.21229871114358659</v>
      </c>
    </row>
    <row r="1473" spans="27:29">
      <c r="AA1473" s="50">
        <v>533.20000000000005</v>
      </c>
      <c r="AB1473" s="51">
        <v>62.444000000000003</v>
      </c>
      <c r="AC1473" s="52">
        <f t="shared" si="554"/>
        <v>0.20450928494519222</v>
      </c>
    </row>
    <row r="1474" spans="27:29">
      <c r="AA1474" s="50">
        <v>533.1</v>
      </c>
      <c r="AB1474" s="51">
        <v>63.457000000000001</v>
      </c>
      <c r="AC1474" s="52">
        <f t="shared" si="554"/>
        <v>0.19752046350322167</v>
      </c>
    </row>
    <row r="1475" spans="27:29">
      <c r="AA1475" s="50">
        <v>533</v>
      </c>
      <c r="AB1475" s="51">
        <v>64.394999999999996</v>
      </c>
      <c r="AC1475" s="52">
        <f t="shared" si="554"/>
        <v>0.19114785246488003</v>
      </c>
    </row>
    <row r="1476" spans="27:29">
      <c r="AA1476" s="50">
        <v>532.9</v>
      </c>
      <c r="AB1476" s="51">
        <v>65.322999999999993</v>
      </c>
      <c r="AC1476" s="52">
        <f t="shared" si="554"/>
        <v>0.18493387822919402</v>
      </c>
    </row>
    <row r="1477" spans="27:29">
      <c r="AA1477" s="50">
        <v>532.79999999999995</v>
      </c>
      <c r="AB1477" s="51">
        <v>66.290999999999997</v>
      </c>
      <c r="AC1477" s="52">
        <f t="shared" si="554"/>
        <v>0.1785454295990602</v>
      </c>
    </row>
    <row r="1478" spans="27:29">
      <c r="AA1478" s="50">
        <v>532.70000000000005</v>
      </c>
      <c r="AB1478" s="51">
        <v>67.233999999999995</v>
      </c>
      <c r="AC1478" s="52">
        <f t="shared" si="554"/>
        <v>0.17241105018732591</v>
      </c>
    </row>
    <row r="1479" spans="27:29">
      <c r="AA1479" s="50">
        <v>532.6</v>
      </c>
      <c r="AB1479" s="51">
        <v>68.156999999999996</v>
      </c>
      <c r="AC1479" s="52">
        <f t="shared" si="554"/>
        <v>0.16648953373606232</v>
      </c>
    </row>
    <row r="1480" spans="27:29">
      <c r="AA1480" s="50">
        <v>532.5</v>
      </c>
      <c r="AB1480" s="51">
        <v>69.015000000000001</v>
      </c>
      <c r="AC1480" s="52">
        <f t="shared" si="554"/>
        <v>0.16105650767952256</v>
      </c>
    </row>
    <row r="1481" spans="27:29">
      <c r="AA1481" s="50">
        <v>532.4</v>
      </c>
      <c r="AB1481" s="51">
        <v>69.823999999999998</v>
      </c>
      <c r="AC1481" s="52">
        <f t="shared" si="554"/>
        <v>0.15599527542777097</v>
      </c>
    </row>
    <row r="1482" spans="27:29">
      <c r="AA1482" s="50">
        <v>532.29999999999995</v>
      </c>
      <c r="AB1482" s="51">
        <v>70.638000000000005</v>
      </c>
      <c r="AC1482" s="52">
        <f t="shared" ref="AC1482:AC1545" si="555">-LOG(AB1482/100)</f>
        <v>0.15096160559781557</v>
      </c>
    </row>
    <row r="1483" spans="27:29">
      <c r="AA1483" s="50">
        <v>532.20000000000005</v>
      </c>
      <c r="AB1483" s="51">
        <v>71.415999999999997</v>
      </c>
      <c r="AC1483" s="52">
        <f t="shared" si="555"/>
        <v>0.14620447823419525</v>
      </c>
    </row>
    <row r="1484" spans="27:29">
      <c r="AA1484" s="50">
        <v>532.1</v>
      </c>
      <c r="AB1484" s="51">
        <v>72.150999999999996</v>
      </c>
      <c r="AC1484" s="52">
        <f t="shared" si="555"/>
        <v>0.14175764528466209</v>
      </c>
    </row>
    <row r="1485" spans="27:29">
      <c r="AA1485" s="50">
        <v>532</v>
      </c>
      <c r="AB1485" s="51">
        <v>72.846000000000004</v>
      </c>
      <c r="AC1485" s="52">
        <f t="shared" si="555"/>
        <v>0.13759429050512725</v>
      </c>
    </row>
    <row r="1486" spans="27:29">
      <c r="AA1486" s="50">
        <v>531.9</v>
      </c>
      <c r="AB1486" s="51">
        <v>73.578000000000003</v>
      </c>
      <c r="AC1486" s="52">
        <f t="shared" si="555"/>
        <v>0.13325202135361033</v>
      </c>
    </row>
    <row r="1487" spans="27:29">
      <c r="AA1487" s="50">
        <v>531.79999999999995</v>
      </c>
      <c r="AB1487" s="51">
        <v>74.284999999999997</v>
      </c>
      <c r="AC1487" s="52">
        <f t="shared" si="555"/>
        <v>0.12909887230801412</v>
      </c>
    </row>
    <row r="1488" spans="27:29">
      <c r="AA1488" s="50">
        <v>531.70000000000005</v>
      </c>
      <c r="AB1488" s="51">
        <v>74.875</v>
      </c>
      <c r="AC1488" s="52">
        <f t="shared" si="555"/>
        <v>0.12566316460263219</v>
      </c>
    </row>
    <row r="1489" spans="27:29">
      <c r="AA1489" s="50">
        <v>531.6</v>
      </c>
      <c r="AB1489" s="51">
        <v>75.430999999999997</v>
      </c>
      <c r="AC1489" s="52">
        <f t="shared" si="555"/>
        <v>0.12245013473927095</v>
      </c>
    </row>
    <row r="1490" spans="27:29">
      <c r="AA1490" s="50">
        <v>531.5</v>
      </c>
      <c r="AB1490" s="51">
        <v>75.965000000000003</v>
      </c>
      <c r="AC1490" s="52">
        <f t="shared" si="555"/>
        <v>0.11938645782463268</v>
      </c>
    </row>
    <row r="1491" spans="27:29">
      <c r="AA1491" s="50">
        <v>531.4</v>
      </c>
      <c r="AB1491" s="51">
        <v>76.495000000000005</v>
      </c>
      <c r="AC1491" s="52">
        <f t="shared" si="555"/>
        <v>0.11636695103430079</v>
      </c>
    </row>
    <row r="1492" spans="27:29">
      <c r="AA1492" s="50">
        <v>531.29999999999995</v>
      </c>
      <c r="AB1492" s="51">
        <v>77.113</v>
      </c>
      <c r="AC1492" s="52">
        <f t="shared" si="555"/>
        <v>0.11287240077731152</v>
      </c>
    </row>
    <row r="1493" spans="27:29">
      <c r="AA1493" s="50">
        <v>531.20000000000005</v>
      </c>
      <c r="AB1493" s="51">
        <v>77.603999999999999</v>
      </c>
      <c r="AC1493" s="52">
        <f t="shared" si="555"/>
        <v>0.11011589300525844</v>
      </c>
    </row>
    <row r="1494" spans="27:29">
      <c r="AA1494" s="50">
        <v>531.1</v>
      </c>
      <c r="AB1494" s="51">
        <v>78.006</v>
      </c>
      <c r="AC1494" s="52">
        <f t="shared" si="555"/>
        <v>0.10787199132650993</v>
      </c>
    </row>
    <row r="1495" spans="27:29">
      <c r="AA1495" s="50">
        <v>531</v>
      </c>
      <c r="AB1495" s="51">
        <v>78.427999999999997</v>
      </c>
      <c r="AC1495" s="52">
        <f t="shared" si="555"/>
        <v>0.10552885983421259</v>
      </c>
    </row>
    <row r="1496" spans="27:29">
      <c r="AA1496" s="50">
        <v>530.9</v>
      </c>
      <c r="AB1496" s="51">
        <v>78.891999999999996</v>
      </c>
      <c r="AC1496" s="52">
        <f t="shared" si="555"/>
        <v>0.10296703395162975</v>
      </c>
    </row>
    <row r="1497" spans="27:29">
      <c r="AA1497" s="50">
        <v>530.79999999999995</v>
      </c>
      <c r="AB1497" s="51">
        <v>79.266999999999996</v>
      </c>
      <c r="AC1497" s="52">
        <f t="shared" si="555"/>
        <v>0.10090757813939187</v>
      </c>
    </row>
    <row r="1498" spans="27:29">
      <c r="AA1498" s="50">
        <v>530.70000000000005</v>
      </c>
      <c r="AB1498" s="51">
        <v>79.676000000000002</v>
      </c>
      <c r="AC1498" s="52">
        <f t="shared" si="555"/>
        <v>9.8672477063435682E-2</v>
      </c>
    </row>
    <row r="1499" spans="27:29">
      <c r="AA1499" s="50">
        <v>530.6</v>
      </c>
      <c r="AB1499" s="51">
        <v>80.055999999999997</v>
      </c>
      <c r="AC1499" s="52">
        <f t="shared" si="555"/>
        <v>9.6606113223243958E-2</v>
      </c>
    </row>
    <row r="1500" spans="27:29">
      <c r="AA1500" s="50">
        <v>530.5</v>
      </c>
      <c r="AB1500" s="51">
        <v>80.42</v>
      </c>
      <c r="AC1500" s="52">
        <f t="shared" si="555"/>
        <v>9.4635931233107692E-2</v>
      </c>
    </row>
    <row r="1501" spans="27:29">
      <c r="AA1501" s="50">
        <v>530.4</v>
      </c>
      <c r="AB1501" s="51">
        <v>80.733999999999995</v>
      </c>
      <c r="AC1501" s="52">
        <f t="shared" si="555"/>
        <v>9.2943529680681952E-2</v>
      </c>
    </row>
    <row r="1502" spans="27:29">
      <c r="AA1502" s="50">
        <v>530.29999999999995</v>
      </c>
      <c r="AB1502" s="51">
        <v>80.971999999999994</v>
      </c>
      <c r="AC1502" s="52">
        <f t="shared" si="555"/>
        <v>9.1665133562691015E-2</v>
      </c>
    </row>
    <row r="1503" spans="27:29">
      <c r="AA1503" s="50">
        <v>530.20000000000005</v>
      </c>
      <c r="AB1503" s="51">
        <v>81.307000000000002</v>
      </c>
      <c r="AC1503" s="52">
        <f t="shared" si="555"/>
        <v>8.9872062886806534E-2</v>
      </c>
    </row>
    <row r="1504" spans="27:29">
      <c r="AA1504" s="50">
        <v>530.1</v>
      </c>
      <c r="AB1504" s="51">
        <v>81.585999999999999</v>
      </c>
      <c r="AC1504" s="52">
        <f t="shared" si="555"/>
        <v>8.8384358946941147E-2</v>
      </c>
    </row>
    <row r="1505" spans="27:29">
      <c r="AA1505" s="50">
        <v>530</v>
      </c>
      <c r="AB1505" s="51">
        <v>81.888000000000005</v>
      </c>
      <c r="AC1505" s="52">
        <f t="shared" si="555"/>
        <v>8.6779735792908527E-2</v>
      </c>
    </row>
    <row r="1506" spans="27:29">
      <c r="AA1506" s="50">
        <v>529.9</v>
      </c>
      <c r="AB1506" s="51">
        <v>82.185000000000002</v>
      </c>
      <c r="AC1506" s="52">
        <f t="shared" si="555"/>
        <v>8.5207440509609003E-2</v>
      </c>
    </row>
    <row r="1507" spans="27:29">
      <c r="AA1507" s="50">
        <v>529.79999999999995</v>
      </c>
      <c r="AB1507" s="51">
        <v>82.453999999999994</v>
      </c>
      <c r="AC1507" s="52">
        <f t="shared" si="555"/>
        <v>8.3788271059001163E-2</v>
      </c>
    </row>
    <row r="1508" spans="27:29">
      <c r="AA1508" s="50">
        <v>529.70000000000005</v>
      </c>
      <c r="AB1508" s="51">
        <v>82.667000000000002</v>
      </c>
      <c r="AC1508" s="52">
        <f t="shared" si="555"/>
        <v>8.266782270954974E-2</v>
      </c>
    </row>
    <row r="1509" spans="27:29">
      <c r="AA1509" s="50">
        <v>529.6</v>
      </c>
      <c r="AB1509" s="51">
        <v>82.873999999999995</v>
      </c>
      <c r="AC1509" s="52">
        <f t="shared" si="555"/>
        <v>8.1581698974526176E-2</v>
      </c>
    </row>
    <row r="1510" spans="27:29">
      <c r="AA1510" s="50">
        <v>529.5</v>
      </c>
      <c r="AB1510" s="51">
        <v>83.082999999999998</v>
      </c>
      <c r="AC1510" s="52">
        <f t="shared" si="555"/>
        <v>8.0487830144607475E-2</v>
      </c>
    </row>
    <row r="1511" spans="27:29">
      <c r="AA1511" s="50">
        <v>529.4</v>
      </c>
      <c r="AB1511" s="51">
        <v>83.272000000000006</v>
      </c>
      <c r="AC1511" s="52">
        <f t="shared" si="555"/>
        <v>7.9501004471845368E-2</v>
      </c>
    </row>
    <row r="1512" spans="27:29">
      <c r="AA1512" s="50">
        <v>529.29999999999995</v>
      </c>
      <c r="AB1512" s="51">
        <v>83.507999999999996</v>
      </c>
      <c r="AC1512" s="52">
        <f t="shared" si="555"/>
        <v>7.8271917457360257E-2</v>
      </c>
    </row>
    <row r="1513" spans="27:29">
      <c r="AA1513" s="50">
        <v>529.20000000000005</v>
      </c>
      <c r="AB1513" s="51">
        <v>83.718000000000004</v>
      </c>
      <c r="AC1513" s="52">
        <f t="shared" si="555"/>
        <v>7.7181155385177433E-2</v>
      </c>
    </row>
    <row r="1514" spans="27:29">
      <c r="AA1514" s="50">
        <v>529.1</v>
      </c>
      <c r="AB1514" s="51">
        <v>83.885000000000005</v>
      </c>
      <c r="AC1514" s="52">
        <f t="shared" si="555"/>
        <v>7.6315691133583594E-2</v>
      </c>
    </row>
    <row r="1515" spans="27:29">
      <c r="AA1515" s="50">
        <v>529</v>
      </c>
      <c r="AB1515" s="51">
        <v>84.081000000000003</v>
      </c>
      <c r="AC1515" s="52">
        <f t="shared" si="555"/>
        <v>7.5302131757415292E-2</v>
      </c>
    </row>
    <row r="1516" spans="27:29">
      <c r="AA1516" s="50">
        <v>528.9</v>
      </c>
      <c r="AB1516" s="51">
        <v>84.215000000000003</v>
      </c>
      <c r="AC1516" s="52">
        <f t="shared" si="555"/>
        <v>7.4610547015378531E-2</v>
      </c>
    </row>
    <row r="1517" spans="27:29">
      <c r="AA1517" s="50">
        <v>528.79999999999995</v>
      </c>
      <c r="AB1517" s="51">
        <v>84.396000000000001</v>
      </c>
      <c r="AC1517" s="52">
        <f t="shared" si="555"/>
        <v>7.3678136538968944E-2</v>
      </c>
    </row>
    <row r="1518" spans="27:29">
      <c r="AA1518" s="50">
        <v>528.70000000000005</v>
      </c>
      <c r="AB1518" s="51">
        <v>84.563000000000002</v>
      </c>
      <c r="AC1518" s="52">
        <f t="shared" si="555"/>
        <v>7.2819618175387027E-2</v>
      </c>
    </row>
    <row r="1519" spans="27:29">
      <c r="AA1519" s="50">
        <v>528.6</v>
      </c>
      <c r="AB1519" s="51">
        <v>84.790999999999997</v>
      </c>
      <c r="AC1519" s="52">
        <f t="shared" si="555"/>
        <v>7.1650242764139893E-2</v>
      </c>
    </row>
    <row r="1520" spans="27:29">
      <c r="AA1520" s="50">
        <v>528.5</v>
      </c>
      <c r="AB1520" s="51">
        <v>84.933000000000007</v>
      </c>
      <c r="AC1520" s="52">
        <f t="shared" si="555"/>
        <v>7.0923535512135052E-2</v>
      </c>
    </row>
    <row r="1521" spans="27:29">
      <c r="AA1521" s="50">
        <v>528.4</v>
      </c>
      <c r="AB1521" s="51">
        <v>85.052000000000007</v>
      </c>
      <c r="AC1521" s="52">
        <f t="shared" si="555"/>
        <v>7.0315469485259532E-2</v>
      </c>
    </row>
    <row r="1522" spans="27:29">
      <c r="AA1522" s="50">
        <v>528.29999999999995</v>
      </c>
      <c r="AB1522" s="51">
        <v>85.141000000000005</v>
      </c>
      <c r="AC1522" s="52">
        <f t="shared" si="555"/>
        <v>6.9861253243549373E-2</v>
      </c>
    </row>
    <row r="1523" spans="27:29">
      <c r="AA1523" s="50">
        <v>528.20000000000005</v>
      </c>
      <c r="AB1523" s="51">
        <v>85.257000000000005</v>
      </c>
      <c r="AC1523" s="52">
        <f t="shared" si="555"/>
        <v>6.926995325548517E-2</v>
      </c>
    </row>
    <row r="1524" spans="27:29">
      <c r="AA1524" s="50">
        <v>528.1</v>
      </c>
      <c r="AB1524" s="51">
        <v>85.36</v>
      </c>
      <c r="AC1524" s="52">
        <f t="shared" si="555"/>
        <v>6.8745593583586506E-2</v>
      </c>
    </row>
    <row r="1525" spans="27:29">
      <c r="AA1525" s="50">
        <v>528</v>
      </c>
      <c r="AB1525" s="51">
        <v>85.507000000000005</v>
      </c>
      <c r="AC1525" s="52">
        <f t="shared" si="555"/>
        <v>6.7998330453895695E-2</v>
      </c>
    </row>
    <row r="1526" spans="27:29">
      <c r="AA1526" s="50">
        <v>527.9</v>
      </c>
      <c r="AB1526" s="51">
        <v>85.665999999999997</v>
      </c>
      <c r="AC1526" s="52">
        <f t="shared" si="555"/>
        <v>6.7191511125113235E-2</v>
      </c>
    </row>
    <row r="1527" spans="27:29">
      <c r="AA1527" s="50">
        <v>527.79999999999995</v>
      </c>
      <c r="AB1527" s="51">
        <v>85.784000000000006</v>
      </c>
      <c r="AC1527" s="52">
        <f t="shared" si="555"/>
        <v>6.6593707019470968E-2</v>
      </c>
    </row>
    <row r="1528" spans="27:29">
      <c r="AA1528" s="50">
        <v>527.70000000000005</v>
      </c>
      <c r="AB1528" s="51">
        <v>85.870999999999995</v>
      </c>
      <c r="AC1528" s="52">
        <f t="shared" si="555"/>
        <v>6.6153479549710917E-2</v>
      </c>
    </row>
    <row r="1529" spans="27:29">
      <c r="AA1529" s="50">
        <v>527.6</v>
      </c>
      <c r="AB1529" s="51">
        <v>85.971999999999994</v>
      </c>
      <c r="AC1529" s="52">
        <f t="shared" si="555"/>
        <v>6.5642969983152305E-2</v>
      </c>
    </row>
    <row r="1530" spans="27:29">
      <c r="AA1530" s="50">
        <v>527.5</v>
      </c>
      <c r="AB1530" s="51">
        <v>86.058000000000007</v>
      </c>
      <c r="AC1530" s="52">
        <f t="shared" si="555"/>
        <v>6.5208751200904469E-2</v>
      </c>
    </row>
    <row r="1531" spans="27:29">
      <c r="AA1531" s="50">
        <v>527.4</v>
      </c>
      <c r="AB1531" s="51">
        <v>86.174999999999997</v>
      </c>
      <c r="AC1531" s="52">
        <f t="shared" si="555"/>
        <v>6.461870792001477E-2</v>
      </c>
    </row>
    <row r="1532" spans="27:29">
      <c r="AA1532" s="50">
        <v>527.29999999999995</v>
      </c>
      <c r="AB1532" s="51">
        <v>86.305000000000007</v>
      </c>
      <c r="AC1532" s="52">
        <f t="shared" si="555"/>
        <v>6.396404310857734E-2</v>
      </c>
    </row>
    <row r="1533" spans="27:29">
      <c r="AA1533" s="50">
        <v>527.20000000000005</v>
      </c>
      <c r="AB1533" s="51">
        <v>86.406000000000006</v>
      </c>
      <c r="AC1533" s="52">
        <f t="shared" si="555"/>
        <v>6.3456099229236423E-2</v>
      </c>
    </row>
    <row r="1534" spans="27:29">
      <c r="AA1534" s="50">
        <v>527.1</v>
      </c>
      <c r="AB1534" s="51">
        <v>86.488</v>
      </c>
      <c r="AC1534" s="52">
        <f t="shared" si="555"/>
        <v>6.3044145660156287E-2</v>
      </c>
    </row>
    <row r="1535" spans="27:29">
      <c r="AA1535" s="50">
        <v>527</v>
      </c>
      <c r="AB1535" s="51">
        <v>86.534000000000006</v>
      </c>
      <c r="AC1535" s="52">
        <f t="shared" si="555"/>
        <v>6.2813220729936503E-2</v>
      </c>
    </row>
    <row r="1536" spans="27:29">
      <c r="AA1536" s="50">
        <v>526.9</v>
      </c>
      <c r="AB1536" s="51">
        <v>86.596000000000004</v>
      </c>
      <c r="AC1536" s="52">
        <f t="shared" si="555"/>
        <v>6.2502168237254158E-2</v>
      </c>
    </row>
    <row r="1537" spans="27:29">
      <c r="AA1537" s="50">
        <v>526.79999999999995</v>
      </c>
      <c r="AB1537" s="51">
        <v>86.695999999999998</v>
      </c>
      <c r="AC1537" s="52">
        <f t="shared" si="555"/>
        <v>6.2000939640308235E-2</v>
      </c>
    </row>
    <row r="1538" spans="27:29">
      <c r="AA1538" s="50">
        <v>526.70000000000005</v>
      </c>
      <c r="AB1538" s="51">
        <v>86.789000000000001</v>
      </c>
      <c r="AC1538" s="52">
        <f t="shared" si="555"/>
        <v>6.1535315630325674E-2</v>
      </c>
    </row>
    <row r="1539" spans="27:29">
      <c r="AA1539" s="50">
        <v>526.6</v>
      </c>
      <c r="AB1539" s="51">
        <v>86.91</v>
      </c>
      <c r="AC1539" s="52">
        <f t="shared" si="555"/>
        <v>6.0930250076575765E-2</v>
      </c>
    </row>
    <row r="1540" spans="27:29">
      <c r="AA1540" s="50">
        <v>526.5</v>
      </c>
      <c r="AB1540" s="51">
        <v>86.977999999999994</v>
      </c>
      <c r="AC1540" s="52">
        <f t="shared" si="555"/>
        <v>6.0590582862336519E-2</v>
      </c>
    </row>
    <row r="1541" spans="27:29">
      <c r="AA1541" s="50">
        <v>526.4</v>
      </c>
      <c r="AB1541" s="51">
        <v>87.043999999999997</v>
      </c>
      <c r="AC1541" s="52">
        <f t="shared" si="555"/>
        <v>6.0261159718367013E-2</v>
      </c>
    </row>
    <row r="1542" spans="27:29">
      <c r="AA1542" s="50">
        <v>526.29999999999995</v>
      </c>
      <c r="AB1542" s="51">
        <v>87.11</v>
      </c>
      <c r="AC1542" s="52">
        <f t="shared" si="555"/>
        <v>5.9931986260647434E-2</v>
      </c>
    </row>
    <row r="1543" spans="27:29">
      <c r="AA1543" s="50">
        <v>526.20000000000005</v>
      </c>
      <c r="AB1543" s="51">
        <v>87.183000000000007</v>
      </c>
      <c r="AC1543" s="52">
        <f t="shared" si="555"/>
        <v>5.9568190823851001E-2</v>
      </c>
    </row>
    <row r="1544" spans="27:29">
      <c r="AA1544" s="50">
        <v>526.1</v>
      </c>
      <c r="AB1544" s="51">
        <v>87.248000000000005</v>
      </c>
      <c r="AC1544" s="52">
        <f t="shared" si="555"/>
        <v>5.9244519657253913E-2</v>
      </c>
    </row>
    <row r="1545" spans="27:29">
      <c r="AA1545" s="50">
        <v>526</v>
      </c>
      <c r="AB1545" s="51">
        <v>87.325999999999993</v>
      </c>
      <c r="AC1545" s="52">
        <f t="shared" si="555"/>
        <v>5.8856432406659616E-2</v>
      </c>
    </row>
    <row r="1546" spans="27:29">
      <c r="AA1546" s="50">
        <v>525.9</v>
      </c>
      <c r="AB1546" s="51">
        <v>87.376000000000005</v>
      </c>
      <c r="AC1546" s="52">
        <f t="shared" ref="AC1546:AC1609" si="556">-LOG(AB1546/100)</f>
        <v>5.8607840808531785E-2</v>
      </c>
    </row>
    <row r="1547" spans="27:29">
      <c r="AA1547" s="50">
        <v>525.79999999999995</v>
      </c>
      <c r="AB1547" s="51">
        <v>87.447000000000003</v>
      </c>
      <c r="AC1547" s="52">
        <f t="shared" si="556"/>
        <v>5.825508505087508E-2</v>
      </c>
    </row>
    <row r="1548" spans="27:29">
      <c r="AA1548" s="50">
        <v>525.70000000000005</v>
      </c>
      <c r="AB1548" s="51">
        <v>87.537000000000006</v>
      </c>
      <c r="AC1548" s="52">
        <f t="shared" si="556"/>
        <v>5.7808341270667543E-2</v>
      </c>
    </row>
    <row r="1549" spans="27:29">
      <c r="AA1549" s="50">
        <v>525.6</v>
      </c>
      <c r="AB1549" s="51">
        <v>87.5</v>
      </c>
      <c r="AC1549" s="52">
        <f t="shared" si="556"/>
        <v>5.7991946977686754E-2</v>
      </c>
    </row>
    <row r="1550" spans="27:29">
      <c r="AA1550" s="50">
        <v>525.5</v>
      </c>
      <c r="AB1550" s="51">
        <v>87.613</v>
      </c>
      <c r="AC1550" s="52">
        <f t="shared" si="556"/>
        <v>5.74314485193557E-2</v>
      </c>
    </row>
    <row r="1551" spans="27:29">
      <c r="AA1551" s="50">
        <v>525.4</v>
      </c>
      <c r="AB1551" s="51">
        <v>87.671999999999997</v>
      </c>
      <c r="AC1551" s="52">
        <f t="shared" si="556"/>
        <v>5.7139086076477344E-2</v>
      </c>
    </row>
    <row r="1552" spans="27:29">
      <c r="AA1552" s="50">
        <v>525.29999999999995</v>
      </c>
      <c r="AB1552" s="51">
        <v>87.768000000000001</v>
      </c>
      <c r="AC1552" s="52">
        <f t="shared" si="556"/>
        <v>5.6663797950349606E-2</v>
      </c>
    </row>
    <row r="1553" spans="27:29">
      <c r="AA1553" s="50">
        <v>525.20000000000005</v>
      </c>
      <c r="AB1553" s="51">
        <v>87.873999999999995</v>
      </c>
      <c r="AC1553" s="52">
        <f t="shared" si="556"/>
        <v>5.613960418495622E-2</v>
      </c>
    </row>
    <row r="1554" spans="27:29">
      <c r="AA1554" s="50">
        <v>525.1</v>
      </c>
      <c r="AB1554" s="51">
        <v>87.885000000000005</v>
      </c>
      <c r="AC1554" s="52">
        <f t="shared" si="556"/>
        <v>5.6085242936801928E-2</v>
      </c>
    </row>
    <row r="1555" spans="27:29">
      <c r="AA1555" s="50">
        <v>525</v>
      </c>
      <c r="AB1555" s="51">
        <v>87.918999999999997</v>
      </c>
      <c r="AC1555" s="52">
        <f t="shared" si="556"/>
        <v>5.5917260267820547E-2</v>
      </c>
    </row>
    <row r="1556" spans="27:29">
      <c r="AA1556" s="50">
        <v>524.9</v>
      </c>
      <c r="AB1556" s="51">
        <v>87.936000000000007</v>
      </c>
      <c r="AC1556" s="52">
        <f t="shared" si="556"/>
        <v>5.5833293292581188E-2</v>
      </c>
    </row>
    <row r="1557" spans="27:29">
      <c r="AA1557" s="50">
        <v>524.79999999999995</v>
      </c>
      <c r="AB1557" s="51">
        <v>87.99</v>
      </c>
      <c r="AC1557" s="52">
        <f t="shared" si="556"/>
        <v>5.5566682299785466E-2</v>
      </c>
    </row>
    <row r="1558" spans="27:29">
      <c r="AA1558" s="50">
        <v>524.70000000000005</v>
      </c>
      <c r="AB1558" s="51">
        <v>88.004000000000005</v>
      </c>
      <c r="AC1558" s="52">
        <f t="shared" si="556"/>
        <v>5.5497587640200755E-2</v>
      </c>
    </row>
    <row r="1559" spans="27:29">
      <c r="AA1559" s="50">
        <v>524.6</v>
      </c>
      <c r="AB1559" s="51">
        <v>88.087000000000003</v>
      </c>
      <c r="AC1559" s="52">
        <f t="shared" si="556"/>
        <v>5.5088180632830386E-2</v>
      </c>
    </row>
    <row r="1560" spans="27:29">
      <c r="AA1560" s="50">
        <v>524.5</v>
      </c>
      <c r="AB1560" s="51">
        <v>88.174000000000007</v>
      </c>
      <c r="AC1560" s="52">
        <f t="shared" si="556"/>
        <v>5.4659457058200044E-2</v>
      </c>
    </row>
    <row r="1561" spans="27:29">
      <c r="AA1561" s="50">
        <v>524.4</v>
      </c>
      <c r="AB1561" s="51">
        <v>88.177999999999997</v>
      </c>
      <c r="AC1561" s="52">
        <f t="shared" si="556"/>
        <v>5.4639755802439884E-2</v>
      </c>
    </row>
    <row r="1562" spans="27:29">
      <c r="AA1562" s="50">
        <v>524.29999999999995</v>
      </c>
      <c r="AB1562" s="51">
        <v>88.210999999999999</v>
      </c>
      <c r="AC1562" s="52">
        <f t="shared" si="556"/>
        <v>5.4477254534560197E-2</v>
      </c>
    </row>
    <row r="1563" spans="27:29">
      <c r="AA1563" s="50">
        <v>524.20000000000005</v>
      </c>
      <c r="AB1563" s="51">
        <v>88.245999999999995</v>
      </c>
      <c r="AC1563" s="52">
        <f t="shared" si="556"/>
        <v>5.4304971121990002E-2</v>
      </c>
    </row>
    <row r="1564" spans="27:29">
      <c r="AA1564" s="50">
        <v>524.1</v>
      </c>
      <c r="AB1564" s="51">
        <v>88.355000000000004</v>
      </c>
      <c r="AC1564" s="52">
        <f t="shared" si="556"/>
        <v>5.3768868783514071E-2</v>
      </c>
    </row>
    <row r="1565" spans="27:29">
      <c r="AA1565" s="50">
        <v>524</v>
      </c>
      <c r="AB1565" s="51">
        <v>88.379000000000005</v>
      </c>
      <c r="AC1565" s="52">
        <f t="shared" si="556"/>
        <v>5.3650916746783739E-2</v>
      </c>
    </row>
    <row r="1566" spans="27:29">
      <c r="AA1566" s="50">
        <v>523.9</v>
      </c>
      <c r="AB1566" s="51">
        <v>88.457999999999998</v>
      </c>
      <c r="AC1566" s="52">
        <f t="shared" si="556"/>
        <v>5.3262884079946053E-2</v>
      </c>
    </row>
    <row r="1567" spans="27:29">
      <c r="AA1567" s="50">
        <v>523.79999999999995</v>
      </c>
      <c r="AB1567" s="51">
        <v>88.462000000000003</v>
      </c>
      <c r="AC1567" s="52">
        <f t="shared" si="556"/>
        <v>5.3243246074882622E-2</v>
      </c>
    </row>
    <row r="1568" spans="27:29">
      <c r="AA1568" s="50">
        <v>523.70000000000005</v>
      </c>
      <c r="AB1568" s="51">
        <v>88.436999999999998</v>
      </c>
      <c r="AC1568" s="52">
        <f t="shared" si="556"/>
        <v>5.3365998177719469E-2</v>
      </c>
    </row>
    <row r="1569" spans="27:29">
      <c r="AA1569" s="50">
        <v>523.6</v>
      </c>
      <c r="AB1569" s="51">
        <v>88.468000000000004</v>
      </c>
      <c r="AC1569" s="52">
        <f t="shared" si="556"/>
        <v>5.3213790732177413E-2</v>
      </c>
    </row>
    <row r="1570" spans="27:29">
      <c r="AA1570" s="50">
        <v>523.5</v>
      </c>
      <c r="AB1570" s="51">
        <v>88.516999999999996</v>
      </c>
      <c r="AC1570" s="52">
        <f t="shared" si="556"/>
        <v>5.2973313514820208E-2</v>
      </c>
    </row>
    <row r="1571" spans="27:29">
      <c r="AA1571" s="50">
        <v>523.4</v>
      </c>
      <c r="AB1571" s="51">
        <v>88.578999999999994</v>
      </c>
      <c r="AC1571" s="52">
        <f t="shared" si="556"/>
        <v>5.2669226929261299E-2</v>
      </c>
    </row>
    <row r="1572" spans="27:29">
      <c r="AA1572" s="50">
        <v>523.29999999999995</v>
      </c>
      <c r="AB1572" s="51">
        <v>88.631</v>
      </c>
      <c r="AC1572" s="52">
        <f t="shared" si="556"/>
        <v>5.2414350638903484E-2</v>
      </c>
    </row>
    <row r="1573" spans="27:29">
      <c r="AA1573" s="50">
        <v>523.20000000000005</v>
      </c>
      <c r="AB1573" s="51">
        <v>88.668999999999997</v>
      </c>
      <c r="AC1573" s="52">
        <f t="shared" si="556"/>
        <v>5.2228189436816452E-2</v>
      </c>
    </row>
    <row r="1574" spans="27:29">
      <c r="AA1574" s="50">
        <v>523.1</v>
      </c>
      <c r="AB1574" s="51">
        <v>88.671999999999997</v>
      </c>
      <c r="AC1574" s="52">
        <f t="shared" si="556"/>
        <v>5.2213495897862311E-2</v>
      </c>
    </row>
    <row r="1575" spans="27:29">
      <c r="AA1575" s="50">
        <v>523</v>
      </c>
      <c r="AB1575" s="51">
        <v>88.697000000000003</v>
      </c>
      <c r="AC1575" s="52">
        <f t="shared" si="556"/>
        <v>5.20910690688281E-2</v>
      </c>
    </row>
    <row r="1576" spans="27:29">
      <c r="AA1576" s="50">
        <v>522.9</v>
      </c>
      <c r="AB1576" s="51">
        <v>88.704999999999998</v>
      </c>
      <c r="AC1576" s="52">
        <f t="shared" si="556"/>
        <v>5.2051899771327736E-2</v>
      </c>
    </row>
    <row r="1577" spans="27:29">
      <c r="AA1577" s="50">
        <v>522.79999999999995</v>
      </c>
      <c r="AB1577" s="51">
        <v>88.736000000000004</v>
      </c>
      <c r="AC1577" s="52">
        <f t="shared" si="556"/>
        <v>5.1900152102232353E-2</v>
      </c>
    </row>
    <row r="1578" spans="27:29">
      <c r="AA1578" s="50">
        <v>522.70000000000005</v>
      </c>
      <c r="AB1578" s="51">
        <v>88.796999999999997</v>
      </c>
      <c r="AC1578" s="52">
        <f t="shared" si="556"/>
        <v>5.1601706580119422E-2</v>
      </c>
    </row>
    <row r="1579" spans="27:29">
      <c r="AA1579" s="50">
        <v>522.6</v>
      </c>
      <c r="AB1579" s="51">
        <v>88.805000000000007</v>
      </c>
      <c r="AC1579" s="52">
        <f t="shared" si="556"/>
        <v>5.1562581391691537E-2</v>
      </c>
    </row>
    <row r="1580" spans="27:29">
      <c r="AA1580" s="50">
        <v>522.5</v>
      </c>
      <c r="AB1580" s="51">
        <v>88.81</v>
      </c>
      <c r="AC1580" s="52">
        <f t="shared" si="556"/>
        <v>5.1538129938716454E-2</v>
      </c>
    </row>
    <row r="1581" spans="27:29">
      <c r="AA1581" s="50">
        <v>522.4</v>
      </c>
      <c r="AB1581" s="51">
        <v>88.853999999999999</v>
      </c>
      <c r="AC1581" s="52">
        <f t="shared" si="556"/>
        <v>5.1323016493174042E-2</v>
      </c>
    </row>
    <row r="1582" spans="27:29">
      <c r="AA1582" s="50">
        <v>522.29999999999995</v>
      </c>
      <c r="AB1582" s="51">
        <v>88.837999999999994</v>
      </c>
      <c r="AC1582" s="52">
        <f t="shared" si="556"/>
        <v>5.1401227236811724E-2</v>
      </c>
    </row>
    <row r="1583" spans="27:29">
      <c r="AA1583" s="50">
        <v>522.20000000000005</v>
      </c>
      <c r="AB1583" s="51">
        <v>88.844999999999999</v>
      </c>
      <c r="AC1583" s="52">
        <f t="shared" si="556"/>
        <v>5.1367008303375254E-2</v>
      </c>
    </row>
    <row r="1584" spans="27:29">
      <c r="AA1584" s="50">
        <v>522.1</v>
      </c>
      <c r="AB1584" s="51">
        <v>88.959000000000003</v>
      </c>
      <c r="AC1584" s="52">
        <f t="shared" si="556"/>
        <v>5.0810107696852229E-2</v>
      </c>
    </row>
    <row r="1585" spans="27:29">
      <c r="AA1585" s="50">
        <v>522</v>
      </c>
      <c r="AB1585" s="51">
        <v>88.960999999999999</v>
      </c>
      <c r="AC1585" s="52">
        <f t="shared" si="556"/>
        <v>5.0800343882060818E-2</v>
      </c>
    </row>
    <row r="1586" spans="27:29">
      <c r="AA1586" s="50">
        <v>521.9</v>
      </c>
      <c r="AB1586" s="51">
        <v>88.983999999999995</v>
      </c>
      <c r="AC1586" s="52">
        <f t="shared" si="556"/>
        <v>5.0688075786420053E-2</v>
      </c>
    </row>
    <row r="1587" spans="27:29">
      <c r="AA1587" s="50">
        <v>521.79999999999995</v>
      </c>
      <c r="AB1587" s="51">
        <v>88.977999999999994</v>
      </c>
      <c r="AC1587" s="52">
        <f t="shared" si="556"/>
        <v>5.0717360317863946E-2</v>
      </c>
    </row>
    <row r="1588" spans="27:29">
      <c r="AA1588" s="50">
        <v>521.70000000000005</v>
      </c>
      <c r="AB1588" s="51">
        <v>88.974999999999994</v>
      </c>
      <c r="AC1588" s="52">
        <f t="shared" si="556"/>
        <v>5.0732003324116523E-2</v>
      </c>
    </row>
    <row r="1589" spans="27:29">
      <c r="AA1589" s="50">
        <v>521.6</v>
      </c>
      <c r="AB1589" s="51">
        <v>88.992999999999995</v>
      </c>
      <c r="AC1589" s="52">
        <f t="shared" si="556"/>
        <v>5.0644152691408192E-2</v>
      </c>
    </row>
    <row r="1590" spans="27:29">
      <c r="AA1590" s="50">
        <v>521.5</v>
      </c>
      <c r="AB1590" s="51">
        <v>88.966999999999999</v>
      </c>
      <c r="AC1590" s="52">
        <f t="shared" si="556"/>
        <v>5.0771053754678899E-2</v>
      </c>
    </row>
    <row r="1591" spans="27:29">
      <c r="AA1591" s="50">
        <v>521.4</v>
      </c>
      <c r="AB1591" s="51">
        <v>89.013999999999996</v>
      </c>
      <c r="AC1591" s="52">
        <f t="shared" si="556"/>
        <v>5.0541682741773904E-2</v>
      </c>
    </row>
    <row r="1592" spans="27:29">
      <c r="AA1592" s="50">
        <v>521.29999999999995</v>
      </c>
      <c r="AB1592" s="51">
        <v>89.028000000000006</v>
      </c>
      <c r="AC1592" s="52">
        <f t="shared" si="556"/>
        <v>5.0473382871415416E-2</v>
      </c>
    </row>
    <row r="1593" spans="27:29">
      <c r="AA1593" s="50">
        <v>521.20000000000005</v>
      </c>
      <c r="AB1593" s="51">
        <v>89.054000000000002</v>
      </c>
      <c r="AC1593" s="52">
        <f t="shared" si="556"/>
        <v>5.0346568745229581E-2</v>
      </c>
    </row>
    <row r="1594" spans="27:29">
      <c r="AA1594" s="50">
        <v>521.1</v>
      </c>
      <c r="AB1594" s="51">
        <v>89.061999999999998</v>
      </c>
      <c r="AC1594" s="52">
        <f t="shared" si="556"/>
        <v>5.0307556462699535E-2</v>
      </c>
    </row>
    <row r="1595" spans="27:29">
      <c r="AA1595" s="50">
        <v>521</v>
      </c>
      <c r="AB1595" s="51">
        <v>89.078999999999994</v>
      </c>
      <c r="AC1595" s="52">
        <f t="shared" si="556"/>
        <v>5.0224666996324392E-2</v>
      </c>
    </row>
    <row r="1596" spans="27:29">
      <c r="AA1596" s="50">
        <v>520.9</v>
      </c>
      <c r="AB1596" s="51">
        <v>89.072000000000003</v>
      </c>
      <c r="AC1596" s="52">
        <f t="shared" si="556"/>
        <v>5.0258796037136767E-2</v>
      </c>
    </row>
    <row r="1597" spans="27:29">
      <c r="AA1597" s="50">
        <v>520.79999999999995</v>
      </c>
      <c r="AB1597" s="51">
        <v>89.144999999999996</v>
      </c>
      <c r="AC1597" s="52">
        <f t="shared" si="556"/>
        <v>4.9903010686109271E-2</v>
      </c>
    </row>
    <row r="1598" spans="27:29">
      <c r="AA1598" s="50">
        <v>520.70000000000005</v>
      </c>
      <c r="AB1598" s="51">
        <v>89.119</v>
      </c>
      <c r="AC1598" s="52">
        <f t="shared" si="556"/>
        <v>5.0029695340437108E-2</v>
      </c>
    </row>
    <row r="1599" spans="27:29">
      <c r="AA1599" s="50">
        <v>520.6</v>
      </c>
      <c r="AB1599" s="51">
        <v>89.21</v>
      </c>
      <c r="AC1599" s="52">
        <f t="shared" si="556"/>
        <v>4.958646063061898E-2</v>
      </c>
    </row>
    <row r="1600" spans="27:29">
      <c r="AA1600" s="50">
        <v>520.5</v>
      </c>
      <c r="AB1600" s="51">
        <v>89.191000000000003</v>
      </c>
      <c r="AC1600" s="52">
        <f t="shared" si="556"/>
        <v>4.9678966784590724E-2</v>
      </c>
    </row>
    <row r="1601" spans="27:29">
      <c r="AA1601" s="50">
        <v>520.4</v>
      </c>
      <c r="AB1601" s="51">
        <v>89.153999999999996</v>
      </c>
      <c r="AC1601" s="52">
        <f t="shared" si="556"/>
        <v>4.9859166914237862E-2</v>
      </c>
    </row>
    <row r="1602" spans="27:29">
      <c r="AA1602" s="50">
        <v>520.29999999999995</v>
      </c>
      <c r="AB1602" s="51">
        <v>89.171000000000006</v>
      </c>
      <c r="AC1602" s="52">
        <f t="shared" si="556"/>
        <v>4.9776362975197053E-2</v>
      </c>
    </row>
    <row r="1603" spans="27:29">
      <c r="AA1603" s="50">
        <v>520.20000000000005</v>
      </c>
      <c r="AB1603" s="51">
        <v>89.168999999999997</v>
      </c>
      <c r="AC1603" s="52">
        <f t="shared" si="556"/>
        <v>4.9786103795695522E-2</v>
      </c>
    </row>
    <row r="1604" spans="27:29">
      <c r="AA1604" s="50">
        <v>520.1</v>
      </c>
      <c r="AB1604" s="51">
        <v>89.191000000000003</v>
      </c>
      <c r="AC1604" s="52">
        <f t="shared" si="556"/>
        <v>4.9678966784590724E-2</v>
      </c>
    </row>
    <row r="1605" spans="27:29">
      <c r="AA1605" s="50">
        <v>520</v>
      </c>
      <c r="AB1605" s="51">
        <v>89.231999999999999</v>
      </c>
      <c r="AC1605" s="52">
        <f t="shared" si="556"/>
        <v>4.9479372852514199E-2</v>
      </c>
    </row>
    <row r="1606" spans="27:29">
      <c r="AA1606" s="50">
        <v>519.9</v>
      </c>
      <c r="AB1606" s="51">
        <v>89.234999999999999</v>
      </c>
      <c r="AC1606" s="52">
        <f t="shared" si="556"/>
        <v>4.9464772019353655E-2</v>
      </c>
    </row>
    <row r="1607" spans="27:29">
      <c r="AA1607" s="50">
        <v>519.79999999999995</v>
      </c>
      <c r="AB1607" s="51">
        <v>89.242000000000004</v>
      </c>
      <c r="AC1607" s="52">
        <f t="shared" si="556"/>
        <v>4.9430705317483031E-2</v>
      </c>
    </row>
    <row r="1608" spans="27:29">
      <c r="AA1608" s="50">
        <v>519.70000000000005</v>
      </c>
      <c r="AB1608" s="51">
        <v>89.241</v>
      </c>
      <c r="AC1608" s="52">
        <f t="shared" si="556"/>
        <v>4.9435571825575182E-2</v>
      </c>
    </row>
    <row r="1609" spans="27:29">
      <c r="AA1609" s="50">
        <v>519.6</v>
      </c>
      <c r="AB1609" s="51">
        <v>89.236999999999995</v>
      </c>
      <c r="AC1609" s="52">
        <f t="shared" si="556"/>
        <v>4.9455038403281179E-2</v>
      </c>
    </row>
    <row r="1610" spans="27:29">
      <c r="AA1610" s="50">
        <v>519.5</v>
      </c>
      <c r="AB1610" s="51">
        <v>89.238</v>
      </c>
      <c r="AC1610" s="52">
        <f t="shared" ref="AC1610:AC1673" si="557">-LOG(AB1610/100)</f>
        <v>4.9450171677051673E-2</v>
      </c>
    </row>
    <row r="1611" spans="27:29">
      <c r="AA1611" s="50">
        <v>519.4</v>
      </c>
      <c r="AB1611" s="51">
        <v>89.293999999999997</v>
      </c>
      <c r="AC1611" s="52">
        <f t="shared" si="557"/>
        <v>4.9177722012182623E-2</v>
      </c>
    </row>
    <row r="1612" spans="27:29">
      <c r="AA1612" s="50">
        <v>519.29999999999995</v>
      </c>
      <c r="AB1612" s="51">
        <v>89.334999999999994</v>
      </c>
      <c r="AC1612" s="52">
        <f t="shared" si="557"/>
        <v>4.8978358257465056E-2</v>
      </c>
    </row>
    <row r="1613" spans="27:29">
      <c r="AA1613" s="50">
        <v>519.20000000000005</v>
      </c>
      <c r="AB1613" s="51">
        <v>89.334000000000003</v>
      </c>
      <c r="AC1613" s="52">
        <f t="shared" si="557"/>
        <v>4.8983219699370542E-2</v>
      </c>
    </row>
    <row r="1614" spans="27:29">
      <c r="AA1614" s="50">
        <v>519.1</v>
      </c>
      <c r="AB1614" s="51">
        <v>89.320999999999998</v>
      </c>
      <c r="AC1614" s="52">
        <f t="shared" si="557"/>
        <v>4.9046423396716943E-2</v>
      </c>
    </row>
    <row r="1615" spans="27:29">
      <c r="AA1615" s="50">
        <v>519</v>
      </c>
      <c r="AB1615" s="51">
        <v>89.228999999999999</v>
      </c>
      <c r="AC1615" s="52">
        <f t="shared" si="557"/>
        <v>4.9493974176566306E-2</v>
      </c>
    </row>
    <row r="1616" spans="27:29">
      <c r="AA1616" s="50">
        <v>518.9</v>
      </c>
      <c r="AB1616" s="51">
        <v>89.268000000000001</v>
      </c>
      <c r="AC1616" s="52">
        <f t="shared" si="557"/>
        <v>4.9304195243993217E-2</v>
      </c>
    </row>
    <row r="1617" spans="27:29">
      <c r="AA1617" s="50">
        <v>518.79999999999995</v>
      </c>
      <c r="AB1617" s="51">
        <v>89.322999999999993</v>
      </c>
      <c r="AC1617" s="52">
        <f t="shared" si="557"/>
        <v>4.9036699152254844E-2</v>
      </c>
    </row>
    <row r="1618" spans="27:29">
      <c r="AA1618" s="50">
        <v>518.70000000000005</v>
      </c>
      <c r="AB1618" s="51">
        <v>89.319000000000003</v>
      </c>
      <c r="AC1618" s="52">
        <f t="shared" si="557"/>
        <v>4.9056147858918452E-2</v>
      </c>
    </row>
    <row r="1619" spans="27:29">
      <c r="AA1619" s="50">
        <v>518.6</v>
      </c>
      <c r="AB1619" s="51">
        <v>89.319000000000003</v>
      </c>
      <c r="AC1619" s="52">
        <f t="shared" si="557"/>
        <v>4.9056147858918452E-2</v>
      </c>
    </row>
    <row r="1620" spans="27:29">
      <c r="AA1620" s="50">
        <v>518.5</v>
      </c>
      <c r="AB1620" s="51">
        <v>89.31</v>
      </c>
      <c r="AC1620" s="52">
        <f t="shared" si="557"/>
        <v>4.9099910633612798E-2</v>
      </c>
    </row>
    <row r="1621" spans="27:29">
      <c r="AA1621" s="50">
        <v>518.4</v>
      </c>
      <c r="AB1621" s="51">
        <v>89.325000000000003</v>
      </c>
      <c r="AC1621" s="52">
        <f t="shared" si="557"/>
        <v>4.9026975125522454E-2</v>
      </c>
    </row>
    <row r="1622" spans="27:29">
      <c r="AA1622" s="50">
        <v>518.29999999999995</v>
      </c>
      <c r="AB1622" s="51">
        <v>89.323999999999998</v>
      </c>
      <c r="AC1622" s="52">
        <f t="shared" si="557"/>
        <v>4.903183711167302E-2</v>
      </c>
    </row>
    <row r="1623" spans="27:29">
      <c r="AA1623" s="50">
        <v>518.20000000000005</v>
      </c>
      <c r="AB1623" s="51">
        <v>89.346999999999994</v>
      </c>
      <c r="AC1623" s="52">
        <f t="shared" si="557"/>
        <v>4.8920025198839402E-2</v>
      </c>
    </row>
    <row r="1624" spans="27:29">
      <c r="AA1624" s="50">
        <v>518.1</v>
      </c>
      <c r="AB1624" s="51">
        <v>89.367000000000004</v>
      </c>
      <c r="AC1624" s="52">
        <f t="shared" si="557"/>
        <v>4.8822820842445061E-2</v>
      </c>
    </row>
    <row r="1625" spans="27:29">
      <c r="AA1625" s="50">
        <v>518</v>
      </c>
      <c r="AB1625" s="51">
        <v>89.41</v>
      </c>
      <c r="AC1625" s="52">
        <f t="shared" si="557"/>
        <v>4.8613905119707174E-2</v>
      </c>
    </row>
    <row r="1626" spans="27:29">
      <c r="AA1626" s="50">
        <v>517.9</v>
      </c>
      <c r="AB1626" s="51">
        <v>89.382000000000005</v>
      </c>
      <c r="AC1626" s="52">
        <f t="shared" si="557"/>
        <v>4.8749931850128013E-2</v>
      </c>
    </row>
    <row r="1627" spans="27:29">
      <c r="AA1627" s="50">
        <v>517.79999999999995</v>
      </c>
      <c r="AB1627" s="51">
        <v>89.353999999999999</v>
      </c>
      <c r="AC1627" s="52">
        <f t="shared" si="557"/>
        <v>4.8886001199254868E-2</v>
      </c>
    </row>
    <row r="1628" spans="27:29">
      <c r="AA1628" s="50">
        <v>517.70000000000005</v>
      </c>
      <c r="AB1628" s="51">
        <v>89.332999999999998</v>
      </c>
      <c r="AC1628" s="52">
        <f t="shared" si="557"/>
        <v>4.8988081195695109E-2</v>
      </c>
    </row>
    <row r="1629" spans="27:29">
      <c r="AA1629" s="50">
        <v>517.6</v>
      </c>
      <c r="AB1629" s="51">
        <v>89.340999999999994</v>
      </c>
      <c r="AC1629" s="52">
        <f t="shared" si="557"/>
        <v>4.8949190748763312E-2</v>
      </c>
    </row>
    <row r="1630" spans="27:29">
      <c r="AA1630" s="50">
        <v>517.5</v>
      </c>
      <c r="AB1630" s="51">
        <v>89.382999999999996</v>
      </c>
      <c r="AC1630" s="52">
        <f t="shared" si="557"/>
        <v>4.8745073018903774E-2</v>
      </c>
    </row>
    <row r="1631" spans="27:29">
      <c r="AA1631" s="50">
        <v>517.4</v>
      </c>
      <c r="AB1631" s="51">
        <v>89.417000000000002</v>
      </c>
      <c r="AC1631" s="52">
        <f t="shared" si="557"/>
        <v>4.857990509314658E-2</v>
      </c>
    </row>
    <row r="1632" spans="27:29">
      <c r="AA1632" s="50">
        <v>517.29999999999995</v>
      </c>
      <c r="AB1632" s="51">
        <v>89.37</v>
      </c>
      <c r="AC1632" s="52">
        <f t="shared" si="557"/>
        <v>4.8808242065293925E-2</v>
      </c>
    </row>
    <row r="1633" spans="27:29">
      <c r="AA1633" s="50">
        <v>517.20000000000005</v>
      </c>
      <c r="AB1633" s="51">
        <v>89.406999999999996</v>
      </c>
      <c r="AC1633" s="52">
        <f t="shared" si="557"/>
        <v>4.8628477374535697E-2</v>
      </c>
    </row>
    <row r="1634" spans="27:29">
      <c r="AA1634" s="50">
        <v>517.1</v>
      </c>
      <c r="AB1634" s="51">
        <v>89.445999999999998</v>
      </c>
      <c r="AC1634" s="52">
        <f t="shared" si="557"/>
        <v>4.8439076189622024E-2</v>
      </c>
    </row>
    <row r="1635" spans="27:29">
      <c r="AA1635" s="50">
        <v>517</v>
      </c>
      <c r="AB1635" s="51">
        <v>89.445999999999998</v>
      </c>
      <c r="AC1635" s="52">
        <f t="shared" si="557"/>
        <v>4.8439076189622024E-2</v>
      </c>
    </row>
    <row r="1636" spans="27:29">
      <c r="AA1636" s="50">
        <v>516.9</v>
      </c>
      <c r="AB1636" s="51">
        <v>89.456999999999994</v>
      </c>
      <c r="AC1636" s="52">
        <f t="shared" si="557"/>
        <v>4.8385670273489223E-2</v>
      </c>
    </row>
    <row r="1637" spans="27:29">
      <c r="AA1637" s="50">
        <v>516.79999999999995</v>
      </c>
      <c r="AB1637" s="51">
        <v>89.558999999999997</v>
      </c>
      <c r="AC1637" s="52">
        <f t="shared" si="557"/>
        <v>4.7890764321530367E-2</v>
      </c>
    </row>
    <row r="1638" spans="27:29">
      <c r="AA1638" s="50">
        <v>516.70000000000005</v>
      </c>
      <c r="AB1638" s="51">
        <v>89.483999999999995</v>
      </c>
      <c r="AC1638" s="52">
        <f t="shared" si="557"/>
        <v>4.8254610861723599E-2</v>
      </c>
    </row>
    <row r="1639" spans="27:29">
      <c r="AA1639" s="50">
        <v>516.6</v>
      </c>
      <c r="AB1639" s="51">
        <v>89.564999999999998</v>
      </c>
      <c r="AC1639" s="52">
        <f t="shared" si="557"/>
        <v>4.7861669762538923E-2</v>
      </c>
    </row>
    <row r="1640" spans="27:29">
      <c r="AA1640" s="50">
        <v>516.5</v>
      </c>
      <c r="AB1640" s="51">
        <v>89.558000000000007</v>
      </c>
      <c r="AC1640" s="52">
        <f t="shared" si="557"/>
        <v>4.7895613604199305E-2</v>
      </c>
    </row>
    <row r="1641" spans="27:29">
      <c r="AA1641" s="50">
        <v>516.4</v>
      </c>
      <c r="AB1641" s="51">
        <v>89.531000000000006</v>
      </c>
      <c r="AC1641" s="52">
        <f t="shared" si="557"/>
        <v>4.802656470784307E-2</v>
      </c>
    </row>
    <row r="1642" spans="27:29">
      <c r="AA1642" s="50">
        <v>516.29999999999995</v>
      </c>
      <c r="AB1642" s="51">
        <v>89.506</v>
      </c>
      <c r="AC1642" s="52">
        <f t="shared" si="557"/>
        <v>4.8147850946086014E-2</v>
      </c>
    </row>
    <row r="1643" spans="27:29">
      <c r="AA1643" s="50">
        <v>516.20000000000005</v>
      </c>
      <c r="AB1643" s="51">
        <v>89.522999999999996</v>
      </c>
      <c r="AC1643" s="52">
        <f t="shared" si="557"/>
        <v>4.8065372618948561E-2</v>
      </c>
    </row>
    <row r="1644" spans="27:29">
      <c r="AA1644" s="50">
        <v>516.1</v>
      </c>
      <c r="AB1644" s="51">
        <v>89.593000000000004</v>
      </c>
      <c r="AC1644" s="52">
        <f t="shared" si="557"/>
        <v>4.7725920919704103E-2</v>
      </c>
    </row>
    <row r="1645" spans="27:29">
      <c r="AA1645" s="50">
        <v>516</v>
      </c>
      <c r="AB1645" s="51">
        <v>89.641999999999996</v>
      </c>
      <c r="AC1645" s="52">
        <f t="shared" si="557"/>
        <v>4.7488462497594391E-2</v>
      </c>
    </row>
    <row r="1646" spans="27:29">
      <c r="AA1646" s="50">
        <v>515.9</v>
      </c>
      <c r="AB1646" s="51">
        <v>89.596999999999994</v>
      </c>
      <c r="AC1646" s="52">
        <f t="shared" si="557"/>
        <v>4.7706531691199185E-2</v>
      </c>
    </row>
    <row r="1647" spans="27:29">
      <c r="AA1647" s="50">
        <v>515.79999999999995</v>
      </c>
      <c r="AB1647" s="51">
        <v>89.581999999999994</v>
      </c>
      <c r="AC1647" s="52">
        <f t="shared" si="557"/>
        <v>4.7779245761974953E-2</v>
      </c>
    </row>
    <row r="1648" spans="27:29">
      <c r="AA1648" s="50">
        <v>515.70000000000005</v>
      </c>
      <c r="AB1648" s="51">
        <v>89.581999999999994</v>
      </c>
      <c r="AC1648" s="52">
        <f t="shared" si="557"/>
        <v>4.7779245761974953E-2</v>
      </c>
    </row>
    <row r="1649" spans="27:29">
      <c r="AA1649" s="50">
        <v>515.6</v>
      </c>
      <c r="AB1649" s="51">
        <v>89.61</v>
      </c>
      <c r="AC1649" s="52">
        <f t="shared" si="557"/>
        <v>4.764352267620927E-2</v>
      </c>
    </row>
    <row r="1650" spans="27:29">
      <c r="AA1650" s="50">
        <v>515.5</v>
      </c>
      <c r="AB1650" s="51">
        <v>89.638999999999996</v>
      </c>
      <c r="AC1650" s="52">
        <f t="shared" si="557"/>
        <v>4.7502997037739025E-2</v>
      </c>
    </row>
    <row r="1651" spans="27:29">
      <c r="AA1651" s="50">
        <v>515.4</v>
      </c>
      <c r="AB1651" s="51">
        <v>89.602999999999994</v>
      </c>
      <c r="AC1651" s="52">
        <f t="shared" si="557"/>
        <v>4.7677449471417978E-2</v>
      </c>
    </row>
    <row r="1652" spans="27:29">
      <c r="AA1652" s="50">
        <v>515.29999999999995</v>
      </c>
      <c r="AB1652" s="51">
        <v>89.652000000000001</v>
      </c>
      <c r="AC1652" s="52">
        <f t="shared" si="557"/>
        <v>4.7440017543234118E-2</v>
      </c>
    </row>
    <row r="1653" spans="27:29">
      <c r="AA1653" s="50">
        <v>515.20000000000005</v>
      </c>
      <c r="AB1653" s="51">
        <v>89.61</v>
      </c>
      <c r="AC1653" s="52">
        <f t="shared" si="557"/>
        <v>4.764352267620927E-2</v>
      </c>
    </row>
    <row r="1654" spans="27:29">
      <c r="AA1654" s="50">
        <v>515.1</v>
      </c>
      <c r="AB1654" s="51">
        <v>89.634</v>
      </c>
      <c r="AC1654" s="52">
        <f t="shared" si="557"/>
        <v>4.7527222352315948E-2</v>
      </c>
    </row>
    <row r="1655" spans="27:29">
      <c r="AA1655" s="50">
        <v>515</v>
      </c>
      <c r="AB1655" s="51">
        <v>89.603999999999999</v>
      </c>
      <c r="AC1655" s="52">
        <f t="shared" si="557"/>
        <v>4.7672602624119535E-2</v>
      </c>
    </row>
    <row r="1656" spans="27:29">
      <c r="AA1656" s="50">
        <v>514.9</v>
      </c>
      <c r="AB1656" s="51">
        <v>89.603999999999999</v>
      </c>
      <c r="AC1656" s="52">
        <f t="shared" si="557"/>
        <v>4.7672602624119535E-2</v>
      </c>
    </row>
    <row r="1657" spans="27:29">
      <c r="AA1657" s="50">
        <v>514.79999999999995</v>
      </c>
      <c r="AB1657" s="51">
        <v>89.655000000000001</v>
      </c>
      <c r="AC1657" s="52">
        <f t="shared" si="557"/>
        <v>4.7425485110637169E-2</v>
      </c>
    </row>
    <row r="1658" spans="27:29">
      <c r="AA1658" s="50">
        <v>514.70000000000005</v>
      </c>
      <c r="AB1658" s="51">
        <v>89.634</v>
      </c>
      <c r="AC1658" s="52">
        <f t="shared" si="557"/>
        <v>4.7527222352315948E-2</v>
      </c>
    </row>
    <row r="1659" spans="27:29">
      <c r="AA1659" s="50">
        <v>514.6</v>
      </c>
      <c r="AB1659" s="51">
        <v>89.617000000000004</v>
      </c>
      <c r="AC1659" s="52">
        <f t="shared" si="557"/>
        <v>4.7609598531132141E-2</v>
      </c>
    </row>
    <row r="1660" spans="27:29">
      <c r="AA1660" s="50">
        <v>514.5</v>
      </c>
      <c r="AB1660" s="51">
        <v>89.641000000000005</v>
      </c>
      <c r="AC1660" s="52">
        <f t="shared" si="557"/>
        <v>4.749330729026191E-2</v>
      </c>
    </row>
    <row r="1661" spans="27:29">
      <c r="AA1661" s="50">
        <v>514.4</v>
      </c>
      <c r="AB1661" s="51">
        <v>89.593999999999994</v>
      </c>
      <c r="AC1661" s="52">
        <f t="shared" si="557"/>
        <v>4.7721073531423637E-2</v>
      </c>
    </row>
    <row r="1662" spans="27:29">
      <c r="AA1662" s="50">
        <v>514.29999999999995</v>
      </c>
      <c r="AB1662" s="51">
        <v>89.665999999999997</v>
      </c>
      <c r="AC1662" s="52">
        <f t="shared" si="557"/>
        <v>4.737220368451385E-2</v>
      </c>
    </row>
    <row r="1663" spans="27:29">
      <c r="AA1663" s="50">
        <v>514.20000000000005</v>
      </c>
      <c r="AB1663" s="51">
        <v>89.653999999999996</v>
      </c>
      <c r="AC1663" s="52">
        <f t="shared" si="557"/>
        <v>4.7430329200804491E-2</v>
      </c>
    </row>
    <row r="1664" spans="27:29">
      <c r="AA1664" s="50">
        <v>514.1</v>
      </c>
      <c r="AB1664" s="51">
        <v>89.667000000000002</v>
      </c>
      <c r="AC1664" s="52">
        <f t="shared" si="557"/>
        <v>4.7367360242627457E-2</v>
      </c>
    </row>
    <row r="1665" spans="27:29">
      <c r="AA1665" s="50">
        <v>514</v>
      </c>
      <c r="AB1665" s="51">
        <v>89.64</v>
      </c>
      <c r="AC1665" s="52">
        <f t="shared" si="557"/>
        <v>4.7498152136976404E-2</v>
      </c>
    </row>
    <row r="1666" spans="27:29">
      <c r="AA1666" s="50">
        <v>513.9</v>
      </c>
      <c r="AB1666" s="51">
        <v>89.668000000000006</v>
      </c>
      <c r="AC1666" s="52">
        <f t="shared" si="557"/>
        <v>4.7362516854756599E-2</v>
      </c>
    </row>
    <row r="1667" spans="27:29">
      <c r="AA1667" s="50">
        <v>513.79999999999995</v>
      </c>
      <c r="AB1667" s="51">
        <v>89.632999999999996</v>
      </c>
      <c r="AC1667" s="52">
        <f t="shared" si="557"/>
        <v>4.7532067577392624E-2</v>
      </c>
    </row>
    <row r="1668" spans="27:29">
      <c r="AA1668" s="50">
        <v>513.70000000000005</v>
      </c>
      <c r="AB1668" s="51">
        <v>89.665999999999997</v>
      </c>
      <c r="AC1668" s="52">
        <f t="shared" si="557"/>
        <v>4.737220368451385E-2</v>
      </c>
    </row>
    <row r="1669" spans="27:29">
      <c r="AA1669" s="50">
        <v>513.6</v>
      </c>
      <c r="AB1669" s="51">
        <v>89.605999999999995</v>
      </c>
      <c r="AC1669" s="52">
        <f t="shared" si="557"/>
        <v>4.7662909091796081E-2</v>
      </c>
    </row>
    <row r="1670" spans="27:29">
      <c r="AA1670" s="50">
        <v>513.5</v>
      </c>
      <c r="AB1670" s="51">
        <v>89.635000000000005</v>
      </c>
      <c r="AC1670" s="52">
        <f t="shared" si="557"/>
        <v>4.7522377181294623E-2</v>
      </c>
    </row>
    <row r="1671" spans="27:29">
      <c r="AA1671" s="50">
        <v>513.4</v>
      </c>
      <c r="AB1671" s="51">
        <v>89.614000000000004</v>
      </c>
      <c r="AC1671" s="52">
        <f t="shared" si="557"/>
        <v>4.7624137125971543E-2</v>
      </c>
    </row>
    <row r="1672" spans="27:29">
      <c r="AA1672" s="50">
        <v>513.29999999999995</v>
      </c>
      <c r="AB1672" s="51">
        <v>89.602999999999994</v>
      </c>
      <c r="AC1672" s="52">
        <f t="shared" si="557"/>
        <v>4.7677449471417978E-2</v>
      </c>
    </row>
    <row r="1673" spans="27:29">
      <c r="AA1673" s="50">
        <v>513.20000000000005</v>
      </c>
      <c r="AB1673" s="51">
        <v>89.602999999999994</v>
      </c>
      <c r="AC1673" s="52">
        <f t="shared" si="557"/>
        <v>4.7677449471417978E-2</v>
      </c>
    </row>
    <row r="1674" spans="27:29">
      <c r="AA1674" s="50">
        <v>513.1</v>
      </c>
      <c r="AB1674" s="51">
        <v>89.585999999999999</v>
      </c>
      <c r="AC1674" s="52">
        <f t="shared" ref="AC1674:AC1737" si="558">-LOG(AB1674/100)</f>
        <v>4.7759854152670804E-2</v>
      </c>
    </row>
    <row r="1675" spans="27:29">
      <c r="AA1675" s="50">
        <v>513</v>
      </c>
      <c r="AB1675" s="51">
        <v>89.620999999999995</v>
      </c>
      <c r="AC1675" s="52">
        <f t="shared" si="558"/>
        <v>4.7590214495069491E-2</v>
      </c>
    </row>
    <row r="1676" spans="27:29">
      <c r="AA1676" s="50">
        <v>512.9</v>
      </c>
      <c r="AB1676" s="51">
        <v>89.602000000000004</v>
      </c>
      <c r="AC1676" s="52">
        <f t="shared" si="558"/>
        <v>4.7682296372809185E-2</v>
      </c>
    </row>
    <row r="1677" spans="27:29">
      <c r="AA1677" s="50">
        <v>512.79999999999995</v>
      </c>
      <c r="AB1677" s="51">
        <v>89.685000000000002</v>
      </c>
      <c r="AC1677" s="52">
        <f t="shared" si="558"/>
        <v>4.7280187524168703E-2</v>
      </c>
    </row>
    <row r="1678" spans="27:29">
      <c r="AA1678" s="50">
        <v>512.70000000000005</v>
      </c>
      <c r="AB1678" s="51">
        <v>89.664000000000001</v>
      </c>
      <c r="AC1678" s="52">
        <f t="shared" si="558"/>
        <v>4.738189073033823E-2</v>
      </c>
    </row>
    <row r="1679" spans="27:29">
      <c r="AA1679" s="50">
        <v>512.6</v>
      </c>
      <c r="AB1679" s="51">
        <v>89.64</v>
      </c>
      <c r="AC1679" s="52">
        <f t="shared" si="558"/>
        <v>4.7498152136976404E-2</v>
      </c>
    </row>
    <row r="1680" spans="27:29">
      <c r="AA1680" s="50">
        <v>512.5</v>
      </c>
      <c r="AB1680" s="51">
        <v>89.65</v>
      </c>
      <c r="AC1680" s="52">
        <f t="shared" si="558"/>
        <v>4.7449706101798314E-2</v>
      </c>
    </row>
    <row r="1681" spans="27:29">
      <c r="AA1681" s="50">
        <v>512.4</v>
      </c>
      <c r="AB1681" s="51">
        <v>89.606999999999999</v>
      </c>
      <c r="AC1681" s="52">
        <f t="shared" si="558"/>
        <v>4.7658062406768648E-2</v>
      </c>
    </row>
    <row r="1682" spans="27:29">
      <c r="AA1682" s="50">
        <v>512.29999999999995</v>
      </c>
      <c r="AB1682" s="51">
        <v>89.625</v>
      </c>
      <c r="AC1682" s="52">
        <f t="shared" si="558"/>
        <v>4.757083132414347E-2</v>
      </c>
    </row>
    <row r="1683" spans="27:29">
      <c r="AA1683" s="50">
        <v>512.20000000000005</v>
      </c>
      <c r="AB1683" s="51">
        <v>89.555000000000007</v>
      </c>
      <c r="AC1683" s="52">
        <f t="shared" si="558"/>
        <v>4.7910161777093847E-2</v>
      </c>
    </row>
    <row r="1684" spans="27:29">
      <c r="AA1684" s="50">
        <v>512.1</v>
      </c>
      <c r="AB1684" s="51">
        <v>89.552999999999997</v>
      </c>
      <c r="AC1684" s="52">
        <f t="shared" si="558"/>
        <v>4.7919860829775451E-2</v>
      </c>
    </row>
    <row r="1685" spans="27:29">
      <c r="AA1685" s="50">
        <v>512</v>
      </c>
      <c r="AB1685" s="51">
        <v>89.563000000000002</v>
      </c>
      <c r="AC1685" s="52">
        <f t="shared" si="558"/>
        <v>4.7871367732301759E-2</v>
      </c>
    </row>
    <row r="1686" spans="27:29">
      <c r="AA1686" s="50">
        <v>511.9</v>
      </c>
      <c r="AB1686" s="51">
        <v>89.52</v>
      </c>
      <c r="AC1686" s="52">
        <f t="shared" si="558"/>
        <v>4.8079926479706374E-2</v>
      </c>
    </row>
    <row r="1687" spans="27:29">
      <c r="AA1687" s="50">
        <v>511.8</v>
      </c>
      <c r="AB1687" s="51">
        <v>89.543000000000006</v>
      </c>
      <c r="AC1687" s="52">
        <f t="shared" si="558"/>
        <v>4.7968359342567927E-2</v>
      </c>
    </row>
    <row r="1688" spans="27:29">
      <c r="AA1688" s="50">
        <v>511.7</v>
      </c>
      <c r="AB1688" s="51">
        <v>89.564999999999998</v>
      </c>
      <c r="AC1688" s="52">
        <f t="shared" si="558"/>
        <v>4.7861669762538923E-2</v>
      </c>
    </row>
    <row r="1689" spans="27:29">
      <c r="AA1689" s="50">
        <v>511.6</v>
      </c>
      <c r="AB1689" s="51">
        <v>89.582999999999998</v>
      </c>
      <c r="AC1689" s="52">
        <f t="shared" si="558"/>
        <v>4.7774397778474711E-2</v>
      </c>
    </row>
    <row r="1690" spans="27:29">
      <c r="AA1690" s="50">
        <v>511.5</v>
      </c>
      <c r="AB1690" s="51">
        <v>89.605999999999995</v>
      </c>
      <c r="AC1690" s="52">
        <f t="shared" si="558"/>
        <v>4.7662909091796081E-2</v>
      </c>
    </row>
    <row r="1691" spans="27:29">
      <c r="AA1691" s="50">
        <v>511.4</v>
      </c>
      <c r="AB1691" s="51">
        <v>89.653000000000006</v>
      </c>
      <c r="AC1691" s="52">
        <f t="shared" si="558"/>
        <v>4.7435173345003051E-2</v>
      </c>
    </row>
    <row r="1692" spans="27:29">
      <c r="AA1692" s="50">
        <v>511.3</v>
      </c>
      <c r="AB1692" s="51">
        <v>89.564999999999998</v>
      </c>
      <c r="AC1692" s="52">
        <f t="shared" si="558"/>
        <v>4.7861669762538923E-2</v>
      </c>
    </row>
    <row r="1693" spans="27:29">
      <c r="AA1693" s="50">
        <v>511.2</v>
      </c>
      <c r="AB1693" s="51">
        <v>89.55</v>
      </c>
      <c r="AC1693" s="52">
        <f t="shared" si="558"/>
        <v>4.7934409814949688E-2</v>
      </c>
    </row>
    <row r="1694" spans="27:29">
      <c r="AA1694" s="50">
        <v>511.1</v>
      </c>
      <c r="AB1694" s="51">
        <v>89.528999999999996</v>
      </c>
      <c r="AC1694" s="52">
        <f t="shared" si="558"/>
        <v>4.8036266360516458E-2</v>
      </c>
    </row>
    <row r="1695" spans="27:29">
      <c r="AA1695" s="50">
        <v>511</v>
      </c>
      <c r="AB1695" s="51">
        <v>89.503</v>
      </c>
      <c r="AC1695" s="52">
        <f t="shared" si="558"/>
        <v>4.8162407571125325E-2</v>
      </c>
    </row>
    <row r="1696" spans="27:29">
      <c r="AA1696" s="50">
        <v>510.9</v>
      </c>
      <c r="AB1696" s="51">
        <v>89.486000000000004</v>
      </c>
      <c r="AC1696" s="52">
        <f t="shared" si="558"/>
        <v>4.8244904330306676E-2</v>
      </c>
    </row>
    <row r="1697" spans="27:29">
      <c r="AA1697" s="50">
        <v>510.8</v>
      </c>
      <c r="AB1697" s="51">
        <v>89.537000000000006</v>
      </c>
      <c r="AC1697" s="52">
        <f t="shared" si="558"/>
        <v>4.7997461050099673E-2</v>
      </c>
    </row>
    <row r="1698" spans="27:29">
      <c r="AA1698" s="50">
        <v>510.7</v>
      </c>
      <c r="AB1698" s="51">
        <v>89.488</v>
      </c>
      <c r="AC1698" s="52">
        <f t="shared" si="558"/>
        <v>4.8235198015826992E-2</v>
      </c>
    </row>
    <row r="1699" spans="27:29">
      <c r="AA1699" s="50">
        <v>510.6</v>
      </c>
      <c r="AB1699" s="51">
        <v>89.488</v>
      </c>
      <c r="AC1699" s="52">
        <f t="shared" si="558"/>
        <v>4.8235198015826992E-2</v>
      </c>
    </row>
    <row r="1700" spans="27:29">
      <c r="AA1700" s="50">
        <v>510.5</v>
      </c>
      <c r="AB1700" s="51">
        <v>89.507000000000005</v>
      </c>
      <c r="AC1700" s="52">
        <f t="shared" si="558"/>
        <v>4.8142998846161307E-2</v>
      </c>
    </row>
    <row r="1701" spans="27:29">
      <c r="AA1701" s="50">
        <v>510.4</v>
      </c>
      <c r="AB1701" s="51">
        <v>89.441000000000003</v>
      </c>
      <c r="AC1701" s="52">
        <f t="shared" si="558"/>
        <v>4.8463353777262061E-2</v>
      </c>
    </row>
    <row r="1702" spans="27:29">
      <c r="AA1702" s="50">
        <v>510.3</v>
      </c>
      <c r="AB1702" s="51">
        <v>89.513000000000005</v>
      </c>
      <c r="AC1702" s="52">
        <f t="shared" si="558"/>
        <v>4.8113887384956998E-2</v>
      </c>
    </row>
    <row r="1703" spans="27:29">
      <c r="AA1703" s="50">
        <v>510.2</v>
      </c>
      <c r="AB1703" s="51">
        <v>89.531999999999996</v>
      </c>
      <c r="AC1703" s="52">
        <f t="shared" si="558"/>
        <v>4.8021713962776741E-2</v>
      </c>
    </row>
    <row r="1704" spans="27:29">
      <c r="AA1704" s="50">
        <v>510.1</v>
      </c>
      <c r="AB1704" s="51">
        <v>89.525999999999996</v>
      </c>
      <c r="AC1704" s="52">
        <f t="shared" si="558"/>
        <v>4.8050819245896152E-2</v>
      </c>
    </row>
    <row r="1705" spans="27:29">
      <c r="AA1705" s="50">
        <v>510</v>
      </c>
      <c r="AB1705" s="51">
        <v>89.466999999999999</v>
      </c>
      <c r="AC1705" s="52">
        <f t="shared" si="558"/>
        <v>4.8337125138978997E-2</v>
      </c>
    </row>
    <row r="1706" spans="27:29">
      <c r="AA1706" s="50">
        <v>509.9</v>
      </c>
      <c r="AB1706" s="51">
        <v>89.445999999999998</v>
      </c>
      <c r="AC1706" s="52">
        <f t="shared" si="558"/>
        <v>4.8439076189622024E-2</v>
      </c>
    </row>
    <row r="1707" spans="27:29">
      <c r="AA1707" s="50">
        <v>509.8</v>
      </c>
      <c r="AB1707" s="51">
        <v>89.375</v>
      </c>
      <c r="AC1707" s="52">
        <f t="shared" si="558"/>
        <v>4.8783945190862953E-2</v>
      </c>
    </row>
    <row r="1708" spans="27:29">
      <c r="AA1708" s="50">
        <v>509.7</v>
      </c>
      <c r="AB1708" s="51">
        <v>89.43</v>
      </c>
      <c r="AC1708" s="52">
        <f t="shared" si="558"/>
        <v>4.8516769247706745E-2</v>
      </c>
    </row>
    <row r="1709" spans="27:29">
      <c r="AA1709" s="50">
        <v>509.6</v>
      </c>
      <c r="AB1709" s="51">
        <v>89.492000000000004</v>
      </c>
      <c r="AC1709" s="52">
        <f t="shared" si="558"/>
        <v>4.8215786037640554E-2</v>
      </c>
    </row>
    <row r="1710" spans="27:29">
      <c r="AA1710" s="50">
        <v>509.5</v>
      </c>
      <c r="AB1710" s="51">
        <v>89.456000000000003</v>
      </c>
      <c r="AC1710" s="52">
        <f t="shared" si="558"/>
        <v>4.8390525085402342E-2</v>
      </c>
    </row>
    <row r="1711" spans="27:29">
      <c r="AA1711" s="50">
        <v>509.4</v>
      </c>
      <c r="AB1711" s="51">
        <v>89.478999999999999</v>
      </c>
      <c r="AC1711" s="52">
        <f t="shared" si="558"/>
        <v>4.8278878139429951E-2</v>
      </c>
    </row>
    <row r="1712" spans="27:29">
      <c r="AA1712" s="50">
        <v>509.3</v>
      </c>
      <c r="AB1712" s="51">
        <v>89.414000000000001</v>
      </c>
      <c r="AC1712" s="52">
        <f t="shared" si="558"/>
        <v>4.8594476207168544E-2</v>
      </c>
    </row>
    <row r="1713" spans="27:29">
      <c r="AA1713" s="50">
        <v>509.2</v>
      </c>
      <c r="AB1713" s="51">
        <v>89.444999999999993</v>
      </c>
      <c r="AC1713" s="52">
        <f t="shared" si="558"/>
        <v>4.8443931598579557E-2</v>
      </c>
    </row>
    <row r="1714" spans="27:29">
      <c r="AA1714" s="50">
        <v>509.1</v>
      </c>
      <c r="AB1714" s="51">
        <v>89.421000000000006</v>
      </c>
      <c r="AC1714" s="52">
        <f t="shared" si="558"/>
        <v>4.85604777015642E-2</v>
      </c>
    </row>
    <row r="1715" spans="27:29">
      <c r="AA1715" s="50">
        <v>509</v>
      </c>
      <c r="AB1715" s="51">
        <v>89.436999999999998</v>
      </c>
      <c r="AC1715" s="52">
        <f t="shared" si="558"/>
        <v>4.8482776824566975E-2</v>
      </c>
    </row>
    <row r="1716" spans="27:29">
      <c r="AA1716" s="50">
        <v>508.9</v>
      </c>
      <c r="AB1716" s="51">
        <v>89.427999999999997</v>
      </c>
      <c r="AC1716" s="52">
        <f t="shared" si="558"/>
        <v>4.8526481857305966E-2</v>
      </c>
    </row>
    <row r="1717" spans="27:29">
      <c r="AA1717" s="50">
        <v>508.8</v>
      </c>
      <c r="AB1717" s="51">
        <v>89.415999999999997</v>
      </c>
      <c r="AC1717" s="52">
        <f t="shared" si="558"/>
        <v>4.8584762076834272E-2</v>
      </c>
    </row>
    <row r="1718" spans="27:29">
      <c r="AA1718" s="50">
        <v>508.7</v>
      </c>
      <c r="AB1718" s="51">
        <v>89.433000000000007</v>
      </c>
      <c r="AC1718" s="52">
        <f t="shared" si="558"/>
        <v>4.8502200740571891E-2</v>
      </c>
    </row>
    <row r="1719" spans="27:29">
      <c r="AA1719" s="50">
        <v>508.6</v>
      </c>
      <c r="AB1719" s="51">
        <v>89.385999999999996</v>
      </c>
      <c r="AC1719" s="52">
        <f t="shared" si="558"/>
        <v>4.8730496851382157E-2</v>
      </c>
    </row>
    <row r="1720" spans="27:29">
      <c r="AA1720" s="50">
        <v>508.5</v>
      </c>
      <c r="AB1720" s="51">
        <v>89.366</v>
      </c>
      <c r="AC1720" s="52">
        <f t="shared" si="558"/>
        <v>4.8827680543584863E-2</v>
      </c>
    </row>
    <row r="1721" spans="27:29">
      <c r="AA1721" s="50">
        <v>508.4</v>
      </c>
      <c r="AB1721" s="51">
        <v>89.385000000000005</v>
      </c>
      <c r="AC1721" s="52">
        <f t="shared" si="558"/>
        <v>4.8735355519531974E-2</v>
      </c>
    </row>
    <row r="1722" spans="27:29">
      <c r="AA1722" s="50">
        <v>508.3</v>
      </c>
      <c r="AB1722" s="51">
        <v>89.54</v>
      </c>
      <c r="AC1722" s="52">
        <f t="shared" si="558"/>
        <v>4.7982909952573684E-2</v>
      </c>
    </row>
    <row r="1723" spans="27:29">
      <c r="AA1723" s="50">
        <v>508.2</v>
      </c>
      <c r="AB1723" s="51">
        <v>89.468000000000004</v>
      </c>
      <c r="AC1723" s="52">
        <f t="shared" si="558"/>
        <v>4.8332270923963368E-2</v>
      </c>
    </row>
    <row r="1724" spans="27:29">
      <c r="AA1724" s="50">
        <v>508.1</v>
      </c>
      <c r="AB1724" s="51">
        <v>89.355999999999995</v>
      </c>
      <c r="AC1724" s="52">
        <f t="shared" si="558"/>
        <v>4.8876280546086733E-2</v>
      </c>
    </row>
    <row r="1725" spans="27:29">
      <c r="AA1725" s="50">
        <v>508</v>
      </c>
      <c r="AB1725" s="51">
        <v>89.325999999999993</v>
      </c>
      <c r="AC1725" s="52">
        <f t="shared" si="558"/>
        <v>4.9022113193801883E-2</v>
      </c>
    </row>
    <row r="1726" spans="27:29">
      <c r="AA1726" s="50">
        <v>507.9</v>
      </c>
      <c r="AB1726" s="51">
        <v>89.305000000000007</v>
      </c>
      <c r="AC1726" s="52">
        <f t="shared" si="558"/>
        <v>4.9124225191853464E-2</v>
      </c>
    </row>
    <row r="1727" spans="27:29">
      <c r="AA1727" s="50">
        <v>507.8</v>
      </c>
      <c r="AB1727" s="51">
        <v>89.447999999999993</v>
      </c>
      <c r="AC1727" s="52">
        <f t="shared" si="558"/>
        <v>4.8429365534554347E-2</v>
      </c>
    </row>
    <row r="1728" spans="27:29">
      <c r="AA1728" s="50">
        <v>507.7</v>
      </c>
      <c r="AB1728" s="51">
        <v>89.426000000000002</v>
      </c>
      <c r="AC1728" s="52">
        <f t="shared" si="558"/>
        <v>4.8536194684123804E-2</v>
      </c>
    </row>
    <row r="1729" spans="27:29">
      <c r="AA1729" s="50">
        <v>507.6</v>
      </c>
      <c r="AB1729" s="51">
        <v>89.488</v>
      </c>
      <c r="AC1729" s="52">
        <f t="shared" si="558"/>
        <v>4.8235198015826992E-2</v>
      </c>
    </row>
    <row r="1730" spans="27:29">
      <c r="AA1730" s="50">
        <v>507.5</v>
      </c>
      <c r="AB1730" s="51">
        <v>89.393000000000001</v>
      </c>
      <c r="AC1730" s="52">
        <f t="shared" si="558"/>
        <v>4.8696487696225491E-2</v>
      </c>
    </row>
    <row r="1731" spans="27:29">
      <c r="AA1731" s="50">
        <v>507.4</v>
      </c>
      <c r="AB1731" s="51">
        <v>89.402000000000001</v>
      </c>
      <c r="AC1731" s="52">
        <f t="shared" si="558"/>
        <v>4.8652765552536552E-2</v>
      </c>
    </row>
    <row r="1732" spans="27:29">
      <c r="AA1732" s="50">
        <v>507.3</v>
      </c>
      <c r="AB1732" s="51">
        <v>89.403000000000006</v>
      </c>
      <c r="AC1732" s="52">
        <f t="shared" si="558"/>
        <v>4.8647907808268651E-2</v>
      </c>
    </row>
    <row r="1733" spans="27:29">
      <c r="AA1733" s="50">
        <v>507.2</v>
      </c>
      <c r="AB1733" s="51">
        <v>89.515000000000001</v>
      </c>
      <c r="AC1733" s="52">
        <f t="shared" si="558"/>
        <v>4.8104183998181317E-2</v>
      </c>
    </row>
    <row r="1734" spans="27:29">
      <c r="AA1734" s="50">
        <v>507.1</v>
      </c>
      <c r="AB1734" s="51">
        <v>89.504999999999995</v>
      </c>
      <c r="AC1734" s="52">
        <f t="shared" si="558"/>
        <v>4.8152703100220795E-2</v>
      </c>
    </row>
    <row r="1735" spans="27:29">
      <c r="AA1735" s="50">
        <v>507</v>
      </c>
      <c r="AB1735" s="51">
        <v>89.477999999999994</v>
      </c>
      <c r="AC1735" s="52">
        <f t="shared" si="558"/>
        <v>4.8283731757694792E-2</v>
      </c>
    </row>
    <row r="1736" spans="27:29">
      <c r="AA1736" s="50">
        <v>506.9</v>
      </c>
      <c r="AB1736" s="51">
        <v>89.444999999999993</v>
      </c>
      <c r="AC1736" s="52">
        <f t="shared" si="558"/>
        <v>4.8443931598579557E-2</v>
      </c>
    </row>
    <row r="1737" spans="27:29">
      <c r="AA1737" s="50">
        <v>506.8</v>
      </c>
      <c r="AB1737" s="51">
        <v>89.441000000000003</v>
      </c>
      <c r="AC1737" s="52">
        <f t="shared" si="558"/>
        <v>4.8463353777262061E-2</v>
      </c>
    </row>
    <row r="1738" spans="27:29">
      <c r="AA1738" s="50">
        <v>506.7</v>
      </c>
      <c r="AB1738" s="51">
        <v>89.483999999999995</v>
      </c>
      <c r="AC1738" s="52">
        <f t="shared" ref="AC1738:AC1801" si="559">-LOG(AB1738/100)</f>
        <v>4.8254610861723599E-2</v>
      </c>
    </row>
    <row r="1739" spans="27:29">
      <c r="AA1739" s="50">
        <v>506.6</v>
      </c>
      <c r="AB1739" s="51">
        <v>89.423000000000002</v>
      </c>
      <c r="AC1739" s="52">
        <f t="shared" si="559"/>
        <v>4.8550764331657031E-2</v>
      </c>
    </row>
    <row r="1740" spans="27:29">
      <c r="AA1740" s="50">
        <v>506.5</v>
      </c>
      <c r="AB1740" s="51">
        <v>89.465000000000003</v>
      </c>
      <c r="AC1740" s="52">
        <f t="shared" si="559"/>
        <v>4.8346833731783397E-2</v>
      </c>
    </row>
    <row r="1741" spans="27:29">
      <c r="AA1741" s="50">
        <v>506.4</v>
      </c>
      <c r="AB1741" s="51">
        <v>89.486000000000004</v>
      </c>
      <c r="AC1741" s="52">
        <f t="shared" si="559"/>
        <v>4.8244904330306676E-2</v>
      </c>
    </row>
    <row r="1742" spans="27:29">
      <c r="AA1742" s="50">
        <v>506.3</v>
      </c>
      <c r="AB1742" s="51">
        <v>89.491</v>
      </c>
      <c r="AC1742" s="52">
        <f t="shared" si="559"/>
        <v>4.8220638950843608E-2</v>
      </c>
    </row>
    <row r="1743" spans="27:29">
      <c r="AA1743" s="50">
        <v>506.2</v>
      </c>
      <c r="AB1743" s="51">
        <v>89.486000000000004</v>
      </c>
      <c r="AC1743" s="52">
        <f t="shared" si="559"/>
        <v>4.8244904330306676E-2</v>
      </c>
    </row>
    <row r="1744" spans="27:29">
      <c r="AA1744" s="50">
        <v>506.1</v>
      </c>
      <c r="AB1744" s="51">
        <v>89.474000000000004</v>
      </c>
      <c r="AC1744" s="52">
        <f t="shared" si="559"/>
        <v>4.8303146773206157E-2</v>
      </c>
    </row>
    <row r="1745" spans="27:29">
      <c r="AA1745" s="50">
        <v>506</v>
      </c>
      <c r="AB1745" s="51">
        <v>89.578000000000003</v>
      </c>
      <c r="AC1745" s="52">
        <f t="shared" si="559"/>
        <v>4.7798638237169178E-2</v>
      </c>
    </row>
    <row r="1746" spans="27:29">
      <c r="AA1746" s="50">
        <v>505.9</v>
      </c>
      <c r="AB1746" s="51">
        <v>89.585999999999999</v>
      </c>
      <c r="AC1746" s="52">
        <f t="shared" si="559"/>
        <v>4.7759854152670804E-2</v>
      </c>
    </row>
    <row r="1747" spans="27:29">
      <c r="AA1747" s="50">
        <v>505.8</v>
      </c>
      <c r="AB1747" s="51">
        <v>89.54</v>
      </c>
      <c r="AC1747" s="52">
        <f t="shared" si="559"/>
        <v>4.7982909952573684E-2</v>
      </c>
    </row>
    <row r="1748" spans="27:29">
      <c r="AA1748" s="50">
        <v>505.7</v>
      </c>
      <c r="AB1748" s="51">
        <v>89.524000000000001</v>
      </c>
      <c r="AC1748" s="52">
        <f t="shared" si="559"/>
        <v>4.8060521440409842E-2</v>
      </c>
    </row>
    <row r="1749" spans="27:29">
      <c r="AA1749" s="50">
        <v>505.6</v>
      </c>
      <c r="AB1749" s="51">
        <v>89.489000000000004</v>
      </c>
      <c r="AC1749" s="52">
        <f t="shared" si="559"/>
        <v>4.8230344939935554E-2</v>
      </c>
    </row>
    <row r="1750" spans="27:29">
      <c r="AA1750" s="50">
        <v>505.5</v>
      </c>
      <c r="AB1750" s="51">
        <v>89.558999999999997</v>
      </c>
      <c r="AC1750" s="52">
        <f t="shared" si="559"/>
        <v>4.7890764321530367E-2</v>
      </c>
    </row>
    <row r="1751" spans="27:29">
      <c r="AA1751" s="50">
        <v>505.4</v>
      </c>
      <c r="AB1751" s="51">
        <v>89.558000000000007</v>
      </c>
      <c r="AC1751" s="52">
        <f t="shared" si="559"/>
        <v>4.7895613604199305E-2</v>
      </c>
    </row>
    <row r="1752" spans="27:29">
      <c r="AA1752" s="50">
        <v>505.3</v>
      </c>
      <c r="AB1752" s="51">
        <v>89.540999999999997</v>
      </c>
      <c r="AC1752" s="52">
        <f t="shared" si="559"/>
        <v>4.7978059695071205E-2</v>
      </c>
    </row>
    <row r="1753" spans="27:29">
      <c r="AA1753" s="50">
        <v>505.2</v>
      </c>
      <c r="AB1753" s="51">
        <v>89.588999999999999</v>
      </c>
      <c r="AC1753" s="52">
        <f t="shared" si="559"/>
        <v>4.7745311013886592E-2</v>
      </c>
    </row>
    <row r="1754" spans="27:29">
      <c r="AA1754" s="50">
        <v>505.1</v>
      </c>
      <c r="AB1754" s="51">
        <v>89.599000000000004</v>
      </c>
      <c r="AC1754" s="52">
        <f t="shared" si="559"/>
        <v>4.7696837401551555E-2</v>
      </c>
    </row>
    <row r="1755" spans="27:29">
      <c r="AA1755" s="50">
        <v>505</v>
      </c>
      <c r="AB1755" s="51">
        <v>89.584000000000003</v>
      </c>
      <c r="AC1755" s="52">
        <f t="shared" si="559"/>
        <v>4.7769549849091396E-2</v>
      </c>
    </row>
    <row r="1756" spans="27:29">
      <c r="AA1756" s="50">
        <v>504.9</v>
      </c>
      <c r="AB1756" s="51">
        <v>89.600999999999999</v>
      </c>
      <c r="AC1756" s="52">
        <f t="shared" si="559"/>
        <v>4.7687143328294428E-2</v>
      </c>
    </row>
    <row r="1757" spans="27:29">
      <c r="AA1757" s="50">
        <v>504.8</v>
      </c>
      <c r="AB1757" s="51">
        <v>89.622</v>
      </c>
      <c r="AC1757" s="52">
        <f t="shared" si="559"/>
        <v>4.7585368621234414E-2</v>
      </c>
    </row>
    <row r="1758" spans="27:29">
      <c r="AA1758" s="50">
        <v>504.7</v>
      </c>
      <c r="AB1758" s="51">
        <v>89.644000000000005</v>
      </c>
      <c r="AC1758" s="52">
        <f t="shared" si="559"/>
        <v>4.7478773074395214E-2</v>
      </c>
    </row>
    <row r="1759" spans="27:29">
      <c r="AA1759" s="50">
        <v>504.6</v>
      </c>
      <c r="AB1759" s="51">
        <v>89.65</v>
      </c>
      <c r="AC1759" s="52">
        <f t="shared" si="559"/>
        <v>4.7449706101798314E-2</v>
      </c>
    </row>
    <row r="1760" spans="27:29">
      <c r="AA1760" s="50">
        <v>504.5</v>
      </c>
      <c r="AB1760" s="51">
        <v>89.603999999999999</v>
      </c>
      <c r="AC1760" s="52">
        <f t="shared" si="559"/>
        <v>4.7672602624119535E-2</v>
      </c>
    </row>
    <row r="1761" spans="27:29">
      <c r="AA1761" s="50">
        <v>504.4</v>
      </c>
      <c r="AB1761" s="51">
        <v>89.57</v>
      </c>
      <c r="AC1761" s="52">
        <f t="shared" si="559"/>
        <v>4.7837425785537444E-2</v>
      </c>
    </row>
    <row r="1762" spans="27:29">
      <c r="AA1762" s="50">
        <v>504.3</v>
      </c>
      <c r="AB1762" s="51">
        <v>89.552000000000007</v>
      </c>
      <c r="AC1762" s="52">
        <f t="shared" si="559"/>
        <v>4.7924710437345329E-2</v>
      </c>
    </row>
    <row r="1763" spans="27:29">
      <c r="AA1763" s="50">
        <v>504.2</v>
      </c>
      <c r="AB1763" s="51">
        <v>89.632000000000005</v>
      </c>
      <c r="AC1763" s="52">
        <f t="shared" si="559"/>
        <v>4.7536912856525816E-2</v>
      </c>
    </row>
    <row r="1764" spans="27:29">
      <c r="AA1764" s="50">
        <v>504.1</v>
      </c>
      <c r="AB1764" s="51">
        <v>89.602999999999994</v>
      </c>
      <c r="AC1764" s="52">
        <f t="shared" si="559"/>
        <v>4.7677449471417978E-2</v>
      </c>
    </row>
    <row r="1765" spans="27:29">
      <c r="AA1765" s="50">
        <v>504</v>
      </c>
      <c r="AB1765" s="51">
        <v>89.638000000000005</v>
      </c>
      <c r="AC1765" s="52">
        <f t="shared" si="559"/>
        <v>4.7507841992550863E-2</v>
      </c>
    </row>
    <row r="1766" spans="27:29">
      <c r="AA1766" s="50">
        <v>503.9</v>
      </c>
      <c r="AB1766" s="51">
        <v>89.659000000000006</v>
      </c>
      <c r="AC1766" s="52">
        <f t="shared" si="559"/>
        <v>4.7406109290256078E-2</v>
      </c>
    </row>
    <row r="1767" spans="27:29">
      <c r="AA1767" s="50">
        <v>503.8</v>
      </c>
      <c r="AB1767" s="51">
        <v>89.619</v>
      </c>
      <c r="AC1767" s="52">
        <f t="shared" si="559"/>
        <v>4.759990640495388E-2</v>
      </c>
    </row>
    <row r="1768" spans="27:29">
      <c r="AA1768" s="50">
        <v>503.7</v>
      </c>
      <c r="AB1768" s="51">
        <v>89.664000000000001</v>
      </c>
      <c r="AC1768" s="52">
        <f t="shared" si="559"/>
        <v>4.738189073033823E-2</v>
      </c>
    </row>
    <row r="1769" spans="27:29">
      <c r="AA1769" s="50">
        <v>503.6</v>
      </c>
      <c r="AB1769" s="51">
        <v>89.653999999999996</v>
      </c>
      <c r="AC1769" s="52">
        <f t="shared" si="559"/>
        <v>4.7430329200804491E-2</v>
      </c>
    </row>
    <row r="1770" spans="27:29">
      <c r="AA1770" s="50">
        <v>503.5</v>
      </c>
      <c r="AB1770" s="51">
        <v>89.682000000000002</v>
      </c>
      <c r="AC1770" s="52">
        <f t="shared" si="559"/>
        <v>4.7294715095526088E-2</v>
      </c>
    </row>
    <row r="1771" spans="27:29">
      <c r="AA1771" s="50">
        <v>503.4</v>
      </c>
      <c r="AB1771" s="51">
        <v>89.641999999999996</v>
      </c>
      <c r="AC1771" s="52">
        <f t="shared" si="559"/>
        <v>4.7488462497594391E-2</v>
      </c>
    </row>
    <row r="1772" spans="27:29">
      <c r="AA1772" s="50">
        <v>503.3</v>
      </c>
      <c r="AB1772" s="51">
        <v>89.623999999999995</v>
      </c>
      <c r="AC1772" s="52">
        <f t="shared" si="559"/>
        <v>4.7575677035772659E-2</v>
      </c>
    </row>
    <row r="1773" spans="27:29">
      <c r="AA1773" s="50">
        <v>503.2</v>
      </c>
      <c r="AB1773" s="51">
        <v>89.611999999999995</v>
      </c>
      <c r="AC1773" s="52">
        <f t="shared" si="559"/>
        <v>4.763382979292665E-2</v>
      </c>
    </row>
    <row r="1774" spans="27:29">
      <c r="AA1774" s="50">
        <v>503.1</v>
      </c>
      <c r="AB1774" s="51">
        <v>89.623999999999995</v>
      </c>
      <c r="AC1774" s="52">
        <f t="shared" si="559"/>
        <v>4.7575677035772659E-2</v>
      </c>
    </row>
    <row r="1775" spans="27:29">
      <c r="AA1775" s="50">
        <v>503</v>
      </c>
      <c r="AB1775" s="51">
        <v>89.611999999999995</v>
      </c>
      <c r="AC1775" s="52">
        <f t="shared" si="559"/>
        <v>4.763382979292665E-2</v>
      </c>
    </row>
    <row r="1776" spans="27:29">
      <c r="AA1776" s="50">
        <v>502.9</v>
      </c>
      <c r="AB1776" s="51">
        <v>89.658000000000001</v>
      </c>
      <c r="AC1776" s="52">
        <f t="shared" si="559"/>
        <v>4.7410953164310522E-2</v>
      </c>
    </row>
    <row r="1777" spans="27:29">
      <c r="AA1777" s="50">
        <v>502.8</v>
      </c>
      <c r="AB1777" s="51">
        <v>89.688999999999993</v>
      </c>
      <c r="AC1777" s="52">
        <f t="shared" si="559"/>
        <v>4.7260818184934494E-2</v>
      </c>
    </row>
    <row r="1778" spans="27:29">
      <c r="AA1778" s="50">
        <v>502.7</v>
      </c>
      <c r="AB1778" s="51">
        <v>89.694999999999993</v>
      </c>
      <c r="AC1778" s="52">
        <f t="shared" si="559"/>
        <v>4.7231765795731573E-2</v>
      </c>
    </row>
    <row r="1779" spans="27:29">
      <c r="AA1779" s="50">
        <v>502.6</v>
      </c>
      <c r="AB1779" s="51">
        <v>89.671000000000006</v>
      </c>
      <c r="AC1779" s="52">
        <f t="shared" si="559"/>
        <v>4.7347987015225489E-2</v>
      </c>
    </row>
    <row r="1780" spans="27:29">
      <c r="AA1780" s="50">
        <v>502.5</v>
      </c>
      <c r="AB1780" s="51">
        <v>89.614000000000004</v>
      </c>
      <c r="AC1780" s="52">
        <f t="shared" si="559"/>
        <v>4.7624137125971543E-2</v>
      </c>
    </row>
    <row r="1781" spans="27:29">
      <c r="AA1781" s="50">
        <v>502.4</v>
      </c>
      <c r="AB1781" s="51">
        <v>89.686999999999998</v>
      </c>
      <c r="AC1781" s="52">
        <f t="shared" si="559"/>
        <v>4.7270502746568646E-2</v>
      </c>
    </row>
    <row r="1782" spans="27:29">
      <c r="AA1782" s="50">
        <v>502.3</v>
      </c>
      <c r="AB1782" s="51">
        <v>89.676000000000002</v>
      </c>
      <c r="AC1782" s="52">
        <f t="shared" si="559"/>
        <v>4.7323771696206225E-2</v>
      </c>
    </row>
    <row r="1783" spans="27:29">
      <c r="AA1783" s="50">
        <v>502.2</v>
      </c>
      <c r="AB1783" s="51">
        <v>89.68</v>
      </c>
      <c r="AC1783" s="52">
        <f t="shared" si="559"/>
        <v>4.7304400413083245E-2</v>
      </c>
    </row>
    <row r="1784" spans="27:29">
      <c r="AA1784" s="50">
        <v>502.1</v>
      </c>
      <c r="AB1784" s="51">
        <v>89.616</v>
      </c>
      <c r="AC1784" s="52">
        <f t="shared" si="559"/>
        <v>4.7614444675334495E-2</v>
      </c>
    </row>
    <row r="1785" spans="27:29">
      <c r="AA1785" s="50">
        <v>502</v>
      </c>
      <c r="AB1785" s="51">
        <v>89.606999999999999</v>
      </c>
      <c r="AC1785" s="52">
        <f t="shared" si="559"/>
        <v>4.7658062406768648E-2</v>
      </c>
    </row>
    <row r="1786" spans="27:29">
      <c r="AA1786" s="50">
        <v>501.9</v>
      </c>
      <c r="AB1786" s="51">
        <v>89.611999999999995</v>
      </c>
      <c r="AC1786" s="52">
        <f t="shared" si="559"/>
        <v>4.763382979292665E-2</v>
      </c>
    </row>
    <row r="1787" spans="27:29">
      <c r="AA1787" s="50">
        <v>501.8</v>
      </c>
      <c r="AB1787" s="51">
        <v>89.638999999999996</v>
      </c>
      <c r="AC1787" s="52">
        <f t="shared" si="559"/>
        <v>4.7502997037739025E-2</v>
      </c>
    </row>
    <row r="1788" spans="27:29">
      <c r="AA1788" s="50">
        <v>501.7</v>
      </c>
      <c r="AB1788" s="51">
        <v>89.652000000000001</v>
      </c>
      <c r="AC1788" s="52">
        <f t="shared" si="559"/>
        <v>4.7440017543234118E-2</v>
      </c>
    </row>
    <row r="1789" spans="27:29">
      <c r="AA1789" s="50">
        <v>501.6</v>
      </c>
      <c r="AB1789" s="51">
        <v>89.626000000000005</v>
      </c>
      <c r="AC1789" s="52">
        <f t="shared" si="559"/>
        <v>4.756598566658049E-2</v>
      </c>
    </row>
    <row r="1790" spans="27:29">
      <c r="AA1790" s="50">
        <v>501.5</v>
      </c>
      <c r="AB1790" s="51">
        <v>89.649000000000001</v>
      </c>
      <c r="AC1790" s="52">
        <f t="shared" si="559"/>
        <v>4.7454550462133961E-2</v>
      </c>
    </row>
    <row r="1791" spans="27:29">
      <c r="AA1791" s="50">
        <v>501.4</v>
      </c>
      <c r="AB1791" s="51">
        <v>89.62</v>
      </c>
      <c r="AC1791" s="52">
        <f t="shared" si="559"/>
        <v>4.7595060422975559E-2</v>
      </c>
    </row>
    <row r="1792" spans="27:29">
      <c r="AA1792" s="50">
        <v>501.3</v>
      </c>
      <c r="AB1792" s="51">
        <v>89.628</v>
      </c>
      <c r="AC1792" s="52">
        <f t="shared" si="559"/>
        <v>4.7556294513648463E-2</v>
      </c>
    </row>
    <row r="1793" spans="27:29">
      <c r="AA1793" s="50">
        <v>501.2</v>
      </c>
      <c r="AB1793" s="51">
        <v>89.614999999999995</v>
      </c>
      <c r="AC1793" s="52">
        <f t="shared" si="559"/>
        <v>4.7619290873613877E-2</v>
      </c>
    </row>
    <row r="1794" spans="27:29">
      <c r="AA1794" s="50">
        <v>501.1</v>
      </c>
      <c r="AB1794" s="51">
        <v>89.686000000000007</v>
      </c>
      <c r="AC1794" s="52">
        <f t="shared" si="559"/>
        <v>4.7275345108372273E-2</v>
      </c>
    </row>
    <row r="1795" spans="27:29">
      <c r="AA1795" s="50">
        <v>501</v>
      </c>
      <c r="AB1795" s="51">
        <v>89.662999999999997</v>
      </c>
      <c r="AC1795" s="52">
        <f t="shared" si="559"/>
        <v>4.7386734334278639E-2</v>
      </c>
    </row>
    <row r="1796" spans="27:29">
      <c r="AA1796" s="50">
        <v>500.9</v>
      </c>
      <c r="AB1796" s="51">
        <v>89.647999999999996</v>
      </c>
      <c r="AC1796" s="52">
        <f t="shared" si="559"/>
        <v>4.7459394876506876E-2</v>
      </c>
    </row>
    <row r="1797" spans="27:29">
      <c r="AA1797" s="50">
        <v>500.8</v>
      </c>
      <c r="AB1797" s="51">
        <v>89.649000000000001</v>
      </c>
      <c r="AC1797" s="52">
        <f t="shared" si="559"/>
        <v>4.7454550462133961E-2</v>
      </c>
    </row>
    <row r="1798" spans="27:29">
      <c r="AA1798" s="50">
        <v>500.7</v>
      </c>
      <c r="AB1798" s="51">
        <v>89.61</v>
      </c>
      <c r="AC1798" s="52">
        <f t="shared" si="559"/>
        <v>4.764352267620927E-2</v>
      </c>
    </row>
    <row r="1799" spans="27:29">
      <c r="AA1799" s="50">
        <v>500.6</v>
      </c>
      <c r="AB1799" s="51">
        <v>89.66</v>
      </c>
      <c r="AC1799" s="52">
        <f t="shared" si="559"/>
        <v>4.740126547022696E-2</v>
      </c>
    </row>
    <row r="1800" spans="27:29">
      <c r="AA1800" s="50">
        <v>500.5</v>
      </c>
      <c r="AB1800" s="51">
        <v>89.668999999999997</v>
      </c>
      <c r="AC1800" s="52">
        <f t="shared" si="559"/>
        <v>4.7357673520900159E-2</v>
      </c>
    </row>
    <row r="1801" spans="27:29">
      <c r="AA1801" s="50">
        <v>500.4</v>
      </c>
      <c r="AB1801" s="51">
        <v>89.63</v>
      </c>
      <c r="AC1801" s="52">
        <f t="shared" si="559"/>
        <v>4.7546603576966773E-2</v>
      </c>
    </row>
    <row r="1802" spans="27:29">
      <c r="AA1802" s="50">
        <v>500.3</v>
      </c>
      <c r="AB1802" s="51">
        <v>89.575000000000003</v>
      </c>
      <c r="AC1802" s="52">
        <f t="shared" ref="AC1802:AC1865" si="560">-LOG(AB1802/100)</f>
        <v>4.7813183161851777E-2</v>
      </c>
    </row>
    <row r="1803" spans="27:29">
      <c r="AA1803" s="50">
        <v>500.2</v>
      </c>
      <c r="AB1803" s="51">
        <v>89.543000000000006</v>
      </c>
      <c r="AC1803" s="52">
        <f t="shared" si="560"/>
        <v>4.7968359342567927E-2</v>
      </c>
    </row>
    <row r="1804" spans="27:29">
      <c r="AA1804" s="50">
        <v>500.1</v>
      </c>
      <c r="AB1804" s="51">
        <v>89.555999999999997</v>
      </c>
      <c r="AC1804" s="52">
        <f t="shared" si="560"/>
        <v>4.7905312331979859E-2</v>
      </c>
    </row>
    <row r="1805" spans="27:29">
      <c r="AA1805" s="50">
        <v>500</v>
      </c>
      <c r="AB1805" s="51">
        <v>89.611999999999995</v>
      </c>
      <c r="AC1805" s="52">
        <f t="shared" si="560"/>
        <v>4.763382979292665E-2</v>
      </c>
    </row>
    <row r="1806" spans="27:29">
      <c r="AA1806" s="50">
        <v>499.9</v>
      </c>
      <c r="AB1806" s="51">
        <v>89.653999999999996</v>
      </c>
      <c r="AC1806" s="52">
        <f t="shared" si="560"/>
        <v>4.7430329200804491E-2</v>
      </c>
    </row>
    <row r="1807" spans="27:29">
      <c r="AA1807" s="50">
        <v>499.8</v>
      </c>
      <c r="AB1807" s="51">
        <v>89.594999999999999</v>
      </c>
      <c r="AC1807" s="52">
        <f t="shared" si="560"/>
        <v>4.7716226197246761E-2</v>
      </c>
    </row>
    <row r="1808" spans="27:29">
      <c r="AA1808" s="50">
        <v>499.7</v>
      </c>
      <c r="AB1808" s="51">
        <v>89.552999999999997</v>
      </c>
      <c r="AC1808" s="52">
        <f t="shared" si="560"/>
        <v>4.7919860829775451E-2</v>
      </c>
    </row>
    <row r="1809" spans="27:29">
      <c r="AA1809" s="50">
        <v>499.6</v>
      </c>
      <c r="AB1809" s="51">
        <v>89.566999999999993</v>
      </c>
      <c r="AC1809" s="52">
        <f t="shared" si="560"/>
        <v>4.7851972009330751E-2</v>
      </c>
    </row>
    <row r="1810" spans="27:29">
      <c r="AA1810" s="50">
        <v>499.5</v>
      </c>
      <c r="AB1810" s="51">
        <v>89.498999999999995</v>
      </c>
      <c r="AC1810" s="52">
        <f t="shared" si="560"/>
        <v>4.8181817163508694E-2</v>
      </c>
    </row>
    <row r="1811" spans="27:29">
      <c r="AA1811" s="50">
        <v>499.4</v>
      </c>
      <c r="AB1811" s="51">
        <v>89.49</v>
      </c>
      <c r="AC1811" s="52">
        <f t="shared" si="560"/>
        <v>4.8225491918274903E-2</v>
      </c>
    </row>
    <row r="1812" spans="27:29">
      <c r="AA1812" s="50">
        <v>499.3</v>
      </c>
      <c r="AB1812" s="51">
        <v>89.49</v>
      </c>
      <c r="AC1812" s="52">
        <f t="shared" si="560"/>
        <v>4.8225491918274903E-2</v>
      </c>
    </row>
    <row r="1813" spans="27:29">
      <c r="AA1813" s="50">
        <v>499.2</v>
      </c>
      <c r="AB1813" s="51">
        <v>89.478999999999999</v>
      </c>
      <c r="AC1813" s="52">
        <f t="shared" si="560"/>
        <v>4.8278878139429951E-2</v>
      </c>
    </row>
    <row r="1814" spans="27:29">
      <c r="AA1814" s="50">
        <v>499.1</v>
      </c>
      <c r="AB1814" s="51">
        <v>89.460999999999999</v>
      </c>
      <c r="AC1814" s="52">
        <f t="shared" si="560"/>
        <v>4.83662515685193E-2</v>
      </c>
    </row>
    <row r="1815" spans="27:29">
      <c r="AA1815" s="50">
        <v>499</v>
      </c>
      <c r="AB1815" s="51">
        <v>89.421000000000006</v>
      </c>
      <c r="AC1815" s="52">
        <f t="shared" si="560"/>
        <v>4.85604777015642E-2</v>
      </c>
    </row>
    <row r="1816" spans="27:29">
      <c r="AA1816" s="50">
        <v>498.9</v>
      </c>
      <c r="AB1816" s="51">
        <v>89.385000000000005</v>
      </c>
      <c r="AC1816" s="52">
        <f t="shared" si="560"/>
        <v>4.8735355519531974E-2</v>
      </c>
    </row>
    <row r="1817" spans="27:29">
      <c r="AA1817" s="50">
        <v>498.8</v>
      </c>
      <c r="AB1817" s="51">
        <v>89.409000000000006</v>
      </c>
      <c r="AC1817" s="52">
        <f t="shared" si="560"/>
        <v>4.8618762483655147E-2</v>
      </c>
    </row>
    <row r="1818" spans="27:29">
      <c r="AA1818" s="50">
        <v>498.7</v>
      </c>
      <c r="AB1818" s="51">
        <v>89.414000000000001</v>
      </c>
      <c r="AC1818" s="52">
        <f t="shared" si="560"/>
        <v>4.8594476207168544E-2</v>
      </c>
    </row>
    <row r="1819" spans="27:29">
      <c r="AA1819" s="50">
        <v>498.6</v>
      </c>
      <c r="AB1819" s="51">
        <v>89.399000000000001</v>
      </c>
      <c r="AC1819" s="52">
        <f t="shared" si="560"/>
        <v>4.8667339111362631E-2</v>
      </c>
    </row>
    <row r="1820" spans="27:29">
      <c r="AA1820" s="50">
        <v>498.5</v>
      </c>
      <c r="AB1820" s="51">
        <v>89.379000000000005</v>
      </c>
      <c r="AC1820" s="52">
        <f t="shared" si="560"/>
        <v>4.8764508669969377E-2</v>
      </c>
    </row>
    <row r="1821" spans="27:29">
      <c r="AA1821" s="50">
        <v>498.4</v>
      </c>
      <c r="AB1821" s="51">
        <v>89.328999999999994</v>
      </c>
      <c r="AC1821" s="52">
        <f t="shared" si="560"/>
        <v>4.9007527725207882E-2</v>
      </c>
    </row>
    <row r="1822" spans="27:29">
      <c r="AA1822" s="50">
        <v>498.3</v>
      </c>
      <c r="AB1822" s="51">
        <v>89.308999999999997</v>
      </c>
      <c r="AC1822" s="52">
        <f t="shared" si="560"/>
        <v>4.9104773436359543E-2</v>
      </c>
    </row>
    <row r="1823" spans="27:29">
      <c r="AA1823" s="50">
        <v>498.2</v>
      </c>
      <c r="AB1823" s="51">
        <v>89.281000000000006</v>
      </c>
      <c r="AC1823" s="52">
        <f t="shared" si="560"/>
        <v>4.924095402421913E-2</v>
      </c>
    </row>
    <row r="1824" spans="27:29">
      <c r="AA1824" s="50">
        <v>498.1</v>
      </c>
      <c r="AB1824" s="51">
        <v>89.254999999999995</v>
      </c>
      <c r="AC1824" s="52">
        <f t="shared" si="560"/>
        <v>4.9367445674186806E-2</v>
      </c>
    </row>
    <row r="1825" spans="27:29">
      <c r="AA1825" s="50">
        <v>498</v>
      </c>
      <c r="AB1825" s="51">
        <v>89.213999999999999</v>
      </c>
      <c r="AC1825" s="52">
        <f t="shared" si="560"/>
        <v>4.956698816135581E-2</v>
      </c>
    </row>
    <row r="1826" spans="27:29">
      <c r="AA1826" s="50">
        <v>497.9</v>
      </c>
      <c r="AB1826" s="51">
        <v>89.224999999999994</v>
      </c>
      <c r="AC1826" s="52">
        <f t="shared" si="560"/>
        <v>4.9513443372301964E-2</v>
      </c>
    </row>
    <row r="1827" spans="27:29">
      <c r="AA1827" s="50">
        <v>497.8</v>
      </c>
      <c r="AB1827" s="51">
        <v>89.203000000000003</v>
      </c>
      <c r="AC1827" s="52">
        <f t="shared" si="560"/>
        <v>4.9620539552837413E-2</v>
      </c>
    </row>
    <row r="1828" spans="27:29">
      <c r="AA1828" s="50">
        <v>497.7</v>
      </c>
      <c r="AB1828" s="51">
        <v>89.159000000000006</v>
      </c>
      <c r="AC1828" s="52">
        <f t="shared" si="560"/>
        <v>4.9834811175619921E-2</v>
      </c>
    </row>
    <row r="1829" spans="27:29">
      <c r="AA1829" s="50">
        <v>497.6</v>
      </c>
      <c r="AB1829" s="51">
        <v>89.150999999999996</v>
      </c>
      <c r="AC1829" s="52">
        <f t="shared" si="560"/>
        <v>4.9873781013066679E-2</v>
      </c>
    </row>
    <row r="1830" spans="27:29">
      <c r="AA1830" s="50">
        <v>497.5</v>
      </c>
      <c r="AB1830" s="51">
        <v>89.093000000000004</v>
      </c>
      <c r="AC1830" s="52">
        <f t="shared" si="560"/>
        <v>5.0156416959739963E-2</v>
      </c>
    </row>
    <row r="1831" spans="27:29">
      <c r="AA1831" s="50">
        <v>497.4</v>
      </c>
      <c r="AB1831" s="51">
        <v>89.069000000000003</v>
      </c>
      <c r="AC1831" s="52">
        <f t="shared" si="560"/>
        <v>5.0273423589983518E-2</v>
      </c>
    </row>
    <row r="1832" spans="27:29">
      <c r="AA1832" s="50">
        <v>497.3</v>
      </c>
      <c r="AB1832" s="51">
        <v>89.048000000000002</v>
      </c>
      <c r="AC1832" s="52">
        <f t="shared" si="560"/>
        <v>5.0375830257086869E-2</v>
      </c>
    </row>
    <row r="1833" spans="27:29">
      <c r="AA1833" s="50">
        <v>497.2</v>
      </c>
      <c r="AB1833" s="51">
        <v>89.052000000000007</v>
      </c>
      <c r="AC1833" s="52">
        <f t="shared" si="560"/>
        <v>5.0356322363455122E-2</v>
      </c>
    </row>
    <row r="1834" spans="27:29">
      <c r="AA1834" s="50">
        <v>497.1</v>
      </c>
      <c r="AB1834" s="51">
        <v>88.945999999999998</v>
      </c>
      <c r="AC1834" s="52">
        <f t="shared" si="560"/>
        <v>5.0873577844119479E-2</v>
      </c>
    </row>
    <row r="1835" spans="27:29">
      <c r="AA1835" s="50">
        <v>497</v>
      </c>
      <c r="AB1835" s="51">
        <v>88.881</v>
      </c>
      <c r="AC1835" s="52">
        <f t="shared" si="560"/>
        <v>5.1191067793125225E-2</v>
      </c>
    </row>
    <row r="1836" spans="27:29">
      <c r="AA1836" s="50">
        <v>496.9</v>
      </c>
      <c r="AB1836" s="51">
        <v>88.831000000000003</v>
      </c>
      <c r="AC1836" s="52">
        <f t="shared" si="560"/>
        <v>5.1435448866639005E-2</v>
      </c>
    </row>
    <row r="1837" spans="27:29">
      <c r="AA1837" s="50">
        <v>496.8</v>
      </c>
      <c r="AB1837" s="51">
        <v>88.792000000000002</v>
      </c>
      <c r="AC1837" s="52">
        <f t="shared" si="560"/>
        <v>5.1626161612920829E-2</v>
      </c>
    </row>
    <row r="1838" spans="27:29">
      <c r="AA1838" s="50">
        <v>496.7</v>
      </c>
      <c r="AB1838" s="51">
        <v>88.81</v>
      </c>
      <c r="AC1838" s="52">
        <f t="shared" si="560"/>
        <v>5.1538129938716454E-2</v>
      </c>
    </row>
    <row r="1839" spans="27:29">
      <c r="AA1839" s="50">
        <v>496.6</v>
      </c>
      <c r="AB1839" s="51">
        <v>88.683999999999997</v>
      </c>
      <c r="AC1839" s="52">
        <f t="shared" si="560"/>
        <v>5.2154726712824395E-2</v>
      </c>
    </row>
    <row r="1840" spans="27:29">
      <c r="AA1840" s="50">
        <v>496.5</v>
      </c>
      <c r="AB1840" s="51">
        <v>88.662000000000006</v>
      </c>
      <c r="AC1840" s="52">
        <f t="shared" si="560"/>
        <v>5.2262476294443118E-2</v>
      </c>
    </row>
    <row r="1841" spans="27:29">
      <c r="AA1841" s="50">
        <v>496.4</v>
      </c>
      <c r="AB1841" s="51">
        <v>88.537000000000006</v>
      </c>
      <c r="AC1841" s="52">
        <f t="shared" si="560"/>
        <v>5.2875197802382048E-2</v>
      </c>
    </row>
    <row r="1842" spans="27:29">
      <c r="AA1842" s="50">
        <v>496.3</v>
      </c>
      <c r="AB1842" s="51">
        <v>88.43</v>
      </c>
      <c r="AC1842" s="52">
        <f t="shared" si="560"/>
        <v>5.3400374984867278E-2</v>
      </c>
    </row>
    <row r="1843" spans="27:29">
      <c r="AA1843" s="50">
        <v>496.2</v>
      </c>
      <c r="AB1843" s="51">
        <v>88.331000000000003</v>
      </c>
      <c r="AC1843" s="52">
        <f t="shared" si="560"/>
        <v>5.3886852864083942E-2</v>
      </c>
    </row>
    <row r="1844" spans="27:29">
      <c r="AA1844" s="50">
        <v>496.1</v>
      </c>
      <c r="AB1844" s="51">
        <v>88.284000000000006</v>
      </c>
      <c r="AC1844" s="52">
        <f t="shared" si="560"/>
        <v>5.4117997909876085E-2</v>
      </c>
    </row>
    <row r="1845" spans="27:29">
      <c r="AA1845" s="50">
        <v>496</v>
      </c>
      <c r="AB1845" s="51">
        <v>88.23</v>
      </c>
      <c r="AC1845" s="52">
        <f t="shared" si="560"/>
        <v>5.4383720773268175E-2</v>
      </c>
    </row>
    <row r="1846" spans="27:29">
      <c r="AA1846" s="50">
        <v>495.9</v>
      </c>
      <c r="AB1846" s="51">
        <v>88.203000000000003</v>
      </c>
      <c r="AC1846" s="52">
        <f t="shared" si="560"/>
        <v>5.4516643198244556E-2</v>
      </c>
    </row>
    <row r="1847" spans="27:29">
      <c r="AA1847" s="50">
        <v>495.8</v>
      </c>
      <c r="AB1847" s="51">
        <v>88.078999999999994</v>
      </c>
      <c r="AC1847" s="52">
        <f t="shared" si="560"/>
        <v>5.5127624746423444E-2</v>
      </c>
    </row>
    <row r="1848" spans="27:29">
      <c r="AA1848" s="50">
        <v>495.7</v>
      </c>
      <c r="AB1848" s="51">
        <v>87.95</v>
      </c>
      <c r="AC1848" s="52">
        <f t="shared" si="560"/>
        <v>5.5764156206519908E-2</v>
      </c>
    </row>
    <row r="1849" spans="27:29">
      <c r="AA1849" s="50">
        <v>495.6</v>
      </c>
      <c r="AB1849" s="51">
        <v>87.834999999999994</v>
      </c>
      <c r="AC1849" s="52">
        <f t="shared" si="560"/>
        <v>5.6332394367273241E-2</v>
      </c>
    </row>
    <row r="1850" spans="27:29">
      <c r="AA1850" s="50">
        <v>495.5</v>
      </c>
      <c r="AB1850" s="51">
        <v>87.751999999999995</v>
      </c>
      <c r="AC1850" s="52">
        <f t="shared" si="560"/>
        <v>5.6742976525209467E-2</v>
      </c>
    </row>
    <row r="1851" spans="27:29">
      <c r="AA1851" s="50">
        <v>495.4</v>
      </c>
      <c r="AB1851" s="51">
        <v>87.664000000000001</v>
      </c>
      <c r="AC1851" s="52">
        <f t="shared" si="560"/>
        <v>5.7178716909365462E-2</v>
      </c>
    </row>
    <row r="1852" spans="27:29">
      <c r="AA1852" s="50">
        <v>495.3</v>
      </c>
      <c r="AB1852" s="51">
        <v>87.56</v>
      </c>
      <c r="AC1852" s="52">
        <f t="shared" si="560"/>
        <v>5.7694247104105895E-2</v>
      </c>
    </row>
    <row r="1853" spans="27:29">
      <c r="AA1853" s="50">
        <v>495.2</v>
      </c>
      <c r="AB1853" s="51">
        <v>87.448999999999998</v>
      </c>
      <c r="AC1853" s="52">
        <f t="shared" si="560"/>
        <v>5.8245152417037371E-2</v>
      </c>
    </row>
    <row r="1854" spans="27:29">
      <c r="AA1854" s="50">
        <v>495.1</v>
      </c>
      <c r="AB1854" s="51">
        <v>87.307000000000002</v>
      </c>
      <c r="AC1854" s="52">
        <f t="shared" si="560"/>
        <v>5.8950934536139345E-2</v>
      </c>
    </row>
    <row r="1855" spans="27:29">
      <c r="AA1855" s="50">
        <v>495</v>
      </c>
      <c r="AB1855" s="51">
        <v>87.16</v>
      </c>
      <c r="AC1855" s="52">
        <f t="shared" si="560"/>
        <v>5.968277842578202E-2</v>
      </c>
    </row>
    <row r="1856" spans="27:29">
      <c r="AA1856" s="50">
        <v>494.9</v>
      </c>
      <c r="AB1856" s="51">
        <v>87.037999999999997</v>
      </c>
      <c r="AC1856" s="52">
        <f t="shared" si="560"/>
        <v>6.0291096953606196E-2</v>
      </c>
    </row>
    <row r="1857" spans="27:29">
      <c r="AA1857" s="50">
        <v>494.8</v>
      </c>
      <c r="AB1857" s="51">
        <v>86.927000000000007</v>
      </c>
      <c r="AC1857" s="52">
        <f t="shared" si="560"/>
        <v>6.0845308364329283E-2</v>
      </c>
    </row>
    <row r="1858" spans="27:29">
      <c r="AA1858" s="50">
        <v>494.7</v>
      </c>
      <c r="AB1858" s="51">
        <v>86.847999999999999</v>
      </c>
      <c r="AC1858" s="52">
        <f t="shared" si="560"/>
        <v>6.1240178356375748E-2</v>
      </c>
    </row>
    <row r="1859" spans="27:29">
      <c r="AA1859" s="50">
        <v>494.6</v>
      </c>
      <c r="AB1859" s="51">
        <v>86.744</v>
      </c>
      <c r="AC1859" s="52">
        <f t="shared" si="560"/>
        <v>6.1760555234593589E-2</v>
      </c>
    </row>
    <row r="1860" spans="27:29">
      <c r="AA1860" s="50">
        <v>494.5</v>
      </c>
      <c r="AB1860" s="51">
        <v>86.643000000000001</v>
      </c>
      <c r="AC1860" s="52">
        <f t="shared" si="560"/>
        <v>6.2266518745508613E-2</v>
      </c>
    </row>
    <row r="1861" spans="27:29">
      <c r="AA1861" s="50">
        <v>494.4</v>
      </c>
      <c r="AB1861" s="51">
        <v>86.486999999999995</v>
      </c>
      <c r="AC1861" s="52">
        <f t="shared" si="560"/>
        <v>6.3049167131258022E-2</v>
      </c>
    </row>
    <row r="1862" spans="27:29">
      <c r="AA1862" s="50">
        <v>494.3</v>
      </c>
      <c r="AB1862" s="51">
        <v>86.364000000000004</v>
      </c>
      <c r="AC1862" s="52">
        <f t="shared" si="560"/>
        <v>6.3667251264882069E-2</v>
      </c>
    </row>
    <row r="1863" spans="27:29">
      <c r="AA1863" s="50">
        <v>494.2</v>
      </c>
      <c r="AB1863" s="51">
        <v>86.236999999999995</v>
      </c>
      <c r="AC1863" s="52">
        <f t="shared" si="560"/>
        <v>6.4306360066748697E-2</v>
      </c>
    </row>
    <row r="1864" spans="27:29">
      <c r="AA1864" s="50">
        <v>494.1</v>
      </c>
      <c r="AB1864" s="51">
        <v>86.122</v>
      </c>
      <c r="AC1864" s="52">
        <f t="shared" si="560"/>
        <v>6.4885893167196923E-2</v>
      </c>
    </row>
    <row r="1865" spans="27:29">
      <c r="AA1865" s="50">
        <v>494</v>
      </c>
      <c r="AB1865" s="51">
        <v>86.01</v>
      </c>
      <c r="AC1865" s="52">
        <f t="shared" si="560"/>
        <v>6.5451052333853024E-2</v>
      </c>
    </row>
    <row r="1866" spans="27:29">
      <c r="AA1866" s="50">
        <v>493.9</v>
      </c>
      <c r="AB1866" s="51">
        <v>85.852999999999994</v>
      </c>
      <c r="AC1866" s="52">
        <f t="shared" ref="AC1866:AC1929" si="561">-LOG(AB1866/100)</f>
        <v>6.6244524490463419E-2</v>
      </c>
    </row>
    <row r="1867" spans="27:29">
      <c r="AA1867" s="50">
        <v>493.8</v>
      </c>
      <c r="AB1867" s="51">
        <v>85.72</v>
      </c>
      <c r="AC1867" s="52">
        <f t="shared" si="561"/>
        <v>6.6917837630208962E-2</v>
      </c>
    </row>
    <row r="1868" spans="27:29">
      <c r="AA1868" s="50">
        <v>493.7</v>
      </c>
      <c r="AB1868" s="51">
        <v>85.498999999999995</v>
      </c>
      <c r="AC1868" s="52">
        <f t="shared" si="561"/>
        <v>6.8038964769156718E-2</v>
      </c>
    </row>
    <row r="1869" spans="27:29">
      <c r="AA1869" s="50">
        <v>493.6</v>
      </c>
      <c r="AB1869" s="51">
        <v>85.325000000000003</v>
      </c>
      <c r="AC1869" s="52">
        <f t="shared" si="561"/>
        <v>6.8923703049323506E-2</v>
      </c>
    </row>
    <row r="1870" spans="27:29">
      <c r="AA1870" s="50">
        <v>493.5</v>
      </c>
      <c r="AB1870" s="51">
        <v>85.16</v>
      </c>
      <c r="AC1870" s="52">
        <f t="shared" si="561"/>
        <v>6.9764347233715093E-2</v>
      </c>
    </row>
    <row r="1871" spans="27:29">
      <c r="AA1871" s="50">
        <v>493.4</v>
      </c>
      <c r="AB1871" s="51">
        <v>84.986999999999995</v>
      </c>
      <c r="AC1871" s="52">
        <f t="shared" si="561"/>
        <v>7.0647500874514102E-2</v>
      </c>
    </row>
    <row r="1872" spans="27:29">
      <c r="AA1872" s="50">
        <v>493.3</v>
      </c>
      <c r="AB1872" s="51">
        <v>84.814999999999998</v>
      </c>
      <c r="AC1872" s="52">
        <f t="shared" si="561"/>
        <v>7.152733357890767E-2</v>
      </c>
    </row>
    <row r="1873" spans="27:29">
      <c r="AA1873" s="50">
        <v>493.2</v>
      </c>
      <c r="AB1873" s="51">
        <v>84.608000000000004</v>
      </c>
      <c r="AC1873" s="52">
        <f t="shared" si="561"/>
        <v>7.258857086649137E-2</v>
      </c>
    </row>
    <row r="1874" spans="27:29">
      <c r="AA1874" s="50">
        <v>493.1</v>
      </c>
      <c r="AB1874" s="51">
        <v>84.41</v>
      </c>
      <c r="AC1874" s="52">
        <f t="shared" si="561"/>
        <v>7.3606099730317801E-2</v>
      </c>
    </row>
    <row r="1875" spans="27:29">
      <c r="AA1875" s="50">
        <v>493</v>
      </c>
      <c r="AB1875" s="51">
        <v>84.162000000000006</v>
      </c>
      <c r="AC1875" s="52">
        <f t="shared" si="561"/>
        <v>7.4883952626608907E-2</v>
      </c>
    </row>
    <row r="1876" spans="27:29">
      <c r="AA1876" s="50">
        <v>492.9</v>
      </c>
      <c r="AB1876" s="51">
        <v>83.918999999999997</v>
      </c>
      <c r="AC1876" s="52">
        <f t="shared" si="561"/>
        <v>7.6139699946403641E-2</v>
      </c>
    </row>
    <row r="1877" spans="27:29">
      <c r="AA1877" s="50">
        <v>492.8</v>
      </c>
      <c r="AB1877" s="51">
        <v>83.647000000000006</v>
      </c>
      <c r="AC1877" s="52">
        <f t="shared" si="561"/>
        <v>7.7549630395661859E-2</v>
      </c>
    </row>
    <row r="1878" spans="27:29">
      <c r="AA1878" s="50">
        <v>492.7</v>
      </c>
      <c r="AB1878" s="51">
        <v>83.459000000000003</v>
      </c>
      <c r="AC1878" s="52">
        <f t="shared" si="561"/>
        <v>7.8526823279758476E-2</v>
      </c>
    </row>
    <row r="1879" spans="27:29">
      <c r="AA1879" s="50">
        <v>492.6</v>
      </c>
      <c r="AB1879" s="51">
        <v>83.2</v>
      </c>
      <c r="AC1879" s="52">
        <f t="shared" si="561"/>
        <v>7.9876673709276022E-2</v>
      </c>
    </row>
    <row r="1880" spans="27:29">
      <c r="AA1880" s="50">
        <v>492.5</v>
      </c>
      <c r="AB1880" s="51">
        <v>82.957999999999998</v>
      </c>
      <c r="AC1880" s="52">
        <f t="shared" si="561"/>
        <v>8.1141726718267485E-2</v>
      </c>
    </row>
    <row r="1881" spans="27:29">
      <c r="AA1881" s="50">
        <v>492.4</v>
      </c>
      <c r="AB1881" s="51">
        <v>82.698999999999998</v>
      </c>
      <c r="AC1881" s="52">
        <f t="shared" si="561"/>
        <v>8.2499741923966585E-2</v>
      </c>
    </row>
    <row r="1882" spans="27:29">
      <c r="AA1882" s="50">
        <v>492.3</v>
      </c>
      <c r="AB1882" s="51">
        <v>82.408000000000001</v>
      </c>
      <c r="AC1882" s="52">
        <f t="shared" si="561"/>
        <v>8.4030625836766584E-2</v>
      </c>
    </row>
    <row r="1883" spans="27:29">
      <c r="AA1883" s="50">
        <v>492.2</v>
      </c>
      <c r="AB1883" s="51">
        <v>82.128</v>
      </c>
      <c r="AC1883" s="52">
        <f t="shared" si="561"/>
        <v>8.5508753083312503E-2</v>
      </c>
    </row>
    <row r="1884" spans="27:29">
      <c r="AA1884" s="50">
        <v>492.1</v>
      </c>
      <c r="AB1884" s="51">
        <v>81.891000000000005</v>
      </c>
      <c r="AC1884" s="52">
        <f t="shared" si="561"/>
        <v>8.676382553034917E-2</v>
      </c>
    </row>
    <row r="1885" spans="27:29">
      <c r="AA1885" s="50">
        <v>492</v>
      </c>
      <c r="AB1885" s="51">
        <v>81.638999999999996</v>
      </c>
      <c r="AC1885" s="52">
        <f t="shared" si="561"/>
        <v>8.8102323617183925E-2</v>
      </c>
    </row>
    <row r="1886" spans="27:29">
      <c r="AA1886" s="50">
        <v>491.9</v>
      </c>
      <c r="AB1886" s="51">
        <v>81.358999999999995</v>
      </c>
      <c r="AC1886" s="52">
        <f t="shared" si="561"/>
        <v>8.9594398054226476E-2</v>
      </c>
    </row>
    <row r="1887" spans="27:29">
      <c r="AA1887" s="50">
        <v>491.8</v>
      </c>
      <c r="AB1887" s="51">
        <v>81.117999999999995</v>
      </c>
      <c r="AC1887" s="52">
        <f t="shared" si="561"/>
        <v>9.0882765600377363E-2</v>
      </c>
    </row>
    <row r="1888" spans="27:29">
      <c r="AA1888" s="50">
        <v>491.7</v>
      </c>
      <c r="AB1888" s="51">
        <v>80.885999999999996</v>
      </c>
      <c r="AC1888" s="52">
        <f t="shared" si="561"/>
        <v>9.2126640920478689E-2</v>
      </c>
    </row>
    <row r="1889" spans="27:29">
      <c r="AA1889" s="50">
        <v>491.6</v>
      </c>
      <c r="AB1889" s="51">
        <v>80.691999999999993</v>
      </c>
      <c r="AC1889" s="52">
        <f t="shared" si="561"/>
        <v>9.3169520148779106E-2</v>
      </c>
    </row>
    <row r="1890" spans="27:29">
      <c r="AA1890" s="50">
        <v>491.5</v>
      </c>
      <c r="AB1890" s="51">
        <v>80.483999999999995</v>
      </c>
      <c r="AC1890" s="52">
        <f t="shared" si="561"/>
        <v>9.4290447611723643E-2</v>
      </c>
    </row>
    <row r="1891" spans="27:29">
      <c r="AA1891" s="50">
        <v>491.4</v>
      </c>
      <c r="AB1891" s="51">
        <v>80.228999999999999</v>
      </c>
      <c r="AC1891" s="52">
        <f t="shared" si="561"/>
        <v>9.5668620949548949E-2</v>
      </c>
    </row>
    <row r="1892" spans="27:29">
      <c r="AA1892" s="50">
        <v>491.3</v>
      </c>
      <c r="AB1892" s="51">
        <v>80.097999999999999</v>
      </c>
      <c r="AC1892" s="52">
        <f t="shared" si="561"/>
        <v>9.6378327858431423E-2</v>
      </c>
    </row>
    <row r="1893" spans="27:29">
      <c r="AA1893" s="50">
        <v>491.2</v>
      </c>
      <c r="AB1893" s="51">
        <v>79.888000000000005</v>
      </c>
      <c r="AC1893" s="52">
        <f t="shared" si="561"/>
        <v>9.7518451288965469E-2</v>
      </c>
    </row>
    <row r="1894" spans="27:29">
      <c r="AA1894" s="50">
        <v>491.1</v>
      </c>
      <c r="AB1894" s="51">
        <v>79.680999999999997</v>
      </c>
      <c r="AC1894" s="52">
        <f t="shared" si="561"/>
        <v>9.8645224135604101E-2</v>
      </c>
    </row>
    <row r="1895" spans="27:29">
      <c r="AA1895" s="50">
        <v>491</v>
      </c>
      <c r="AB1895" s="51">
        <v>79.406000000000006</v>
      </c>
      <c r="AC1895" s="52">
        <f t="shared" si="561"/>
        <v>0.1001466805900106</v>
      </c>
    </row>
    <row r="1896" spans="27:29">
      <c r="AA1896" s="50">
        <v>490.9</v>
      </c>
      <c r="AB1896" s="51">
        <v>79.233999999999995</v>
      </c>
      <c r="AC1896" s="52">
        <f t="shared" si="561"/>
        <v>0.10108841886733544</v>
      </c>
    </row>
    <row r="1897" spans="27:29">
      <c r="AA1897" s="50">
        <v>490.8</v>
      </c>
      <c r="AB1897" s="51">
        <v>79.009</v>
      </c>
      <c r="AC1897" s="52">
        <f t="shared" si="561"/>
        <v>0.1023234349410852</v>
      </c>
    </row>
    <row r="1898" spans="27:29">
      <c r="AA1898" s="50">
        <v>490.7</v>
      </c>
      <c r="AB1898" s="51">
        <v>78.768000000000001</v>
      </c>
      <c r="AC1898" s="52">
        <f t="shared" si="561"/>
        <v>0.10365018157131954</v>
      </c>
    </row>
    <row r="1899" spans="27:29">
      <c r="AA1899" s="50">
        <v>490.6</v>
      </c>
      <c r="AB1899" s="51">
        <v>78.557000000000002</v>
      </c>
      <c r="AC1899" s="52">
        <f t="shared" si="561"/>
        <v>0.10481511010302109</v>
      </c>
    </row>
    <row r="1900" spans="27:29">
      <c r="AA1900" s="50">
        <v>490.5</v>
      </c>
      <c r="AB1900" s="51">
        <v>78.308999999999997</v>
      </c>
      <c r="AC1900" s="52">
        <f t="shared" si="561"/>
        <v>0.10618832190477356</v>
      </c>
    </row>
    <row r="1901" spans="27:29">
      <c r="AA1901" s="50">
        <v>490.4</v>
      </c>
      <c r="AB1901" s="51">
        <v>78.064999999999998</v>
      </c>
      <c r="AC1901" s="52">
        <f t="shared" si="561"/>
        <v>0.1075436359542384</v>
      </c>
    </row>
    <row r="1902" spans="27:29">
      <c r="AA1902" s="50">
        <v>490.3</v>
      </c>
      <c r="AB1902" s="51">
        <v>77.744</v>
      </c>
      <c r="AC1902" s="52">
        <f t="shared" si="561"/>
        <v>0.10933311828106895</v>
      </c>
    </row>
    <row r="1903" spans="27:29">
      <c r="AA1903" s="50">
        <v>490.2</v>
      </c>
      <c r="AB1903" s="51">
        <v>77.495000000000005</v>
      </c>
      <c r="AC1903" s="52">
        <f t="shared" si="561"/>
        <v>0.11072631739639971</v>
      </c>
    </row>
    <row r="1904" spans="27:29">
      <c r="AA1904" s="50">
        <v>490.1</v>
      </c>
      <c r="AB1904" s="51">
        <v>77.224999999999994</v>
      </c>
      <c r="AC1904" s="52">
        <f t="shared" si="561"/>
        <v>0.11224208302651176</v>
      </c>
    </row>
    <row r="1905" spans="27:29">
      <c r="AA1905" s="50">
        <v>490</v>
      </c>
      <c r="AB1905" s="51">
        <v>76.930999999999997</v>
      </c>
      <c r="AC1905" s="52">
        <f t="shared" si="561"/>
        <v>0.11389862227875767</v>
      </c>
    </row>
    <row r="1906" spans="27:29">
      <c r="AA1906" s="50">
        <v>489.9</v>
      </c>
      <c r="AB1906" s="51">
        <v>76.635999999999996</v>
      </c>
      <c r="AC1906" s="52">
        <f t="shared" si="561"/>
        <v>0.11556717124765718</v>
      </c>
    </row>
    <row r="1907" spans="27:29">
      <c r="AA1907" s="50">
        <v>489.8</v>
      </c>
      <c r="AB1907" s="51">
        <v>76.305999999999997</v>
      </c>
      <c r="AC1907" s="52">
        <f t="shared" si="561"/>
        <v>0.11744131179030963</v>
      </c>
    </row>
    <row r="1908" spans="27:29">
      <c r="AA1908" s="50">
        <v>489.7</v>
      </c>
      <c r="AB1908" s="51">
        <v>75.998999999999995</v>
      </c>
      <c r="AC1908" s="52">
        <f t="shared" si="561"/>
        <v>0.11919212215788143</v>
      </c>
    </row>
    <row r="1909" spans="27:29">
      <c r="AA1909" s="50">
        <v>489.6</v>
      </c>
      <c r="AB1909" s="51">
        <v>75.69</v>
      </c>
      <c r="AC1909" s="52">
        <f t="shared" si="561"/>
        <v>0.12096149476276294</v>
      </c>
    </row>
    <row r="1910" spans="27:29">
      <c r="AA1910" s="50">
        <v>489.5</v>
      </c>
      <c r="AB1910" s="51">
        <v>75.376000000000005</v>
      </c>
      <c r="AC1910" s="52">
        <f t="shared" si="561"/>
        <v>0.12276691310584148</v>
      </c>
    </row>
    <row r="1911" spans="27:29">
      <c r="AA1911" s="50">
        <v>489.4</v>
      </c>
      <c r="AB1911" s="51">
        <v>75.075999999999993</v>
      </c>
      <c r="AC1911" s="52">
        <f t="shared" si="561"/>
        <v>0.12449887435922408</v>
      </c>
    </row>
    <row r="1912" spans="27:29">
      <c r="AA1912" s="50">
        <v>489.3</v>
      </c>
      <c r="AB1912" s="51">
        <v>74.799000000000007</v>
      </c>
      <c r="AC1912" s="52">
        <f t="shared" si="561"/>
        <v>0.12610420825031091</v>
      </c>
    </row>
    <row r="1913" spans="27:29">
      <c r="AA1913" s="50">
        <v>489.2</v>
      </c>
      <c r="AB1913" s="51">
        <v>74.558000000000007</v>
      </c>
      <c r="AC1913" s="52">
        <f t="shared" si="561"/>
        <v>0.1275057503404155</v>
      </c>
    </row>
    <row r="1914" spans="27:29">
      <c r="AA1914" s="50">
        <v>489.1</v>
      </c>
      <c r="AB1914" s="51">
        <v>74.274000000000001</v>
      </c>
      <c r="AC1914" s="52">
        <f t="shared" si="561"/>
        <v>0.12916318667886567</v>
      </c>
    </row>
    <row r="1915" spans="27:29">
      <c r="AA1915" s="50">
        <v>489</v>
      </c>
      <c r="AB1915" s="51">
        <v>74.016999999999996</v>
      </c>
      <c r="AC1915" s="52">
        <f t="shared" si="561"/>
        <v>0.13066852137342644</v>
      </c>
    </row>
    <row r="1916" spans="27:29">
      <c r="AA1916" s="50">
        <v>488.9</v>
      </c>
      <c r="AB1916" s="51">
        <v>73.819000000000003</v>
      </c>
      <c r="AC1916" s="52">
        <f t="shared" si="561"/>
        <v>0.13183184233493636</v>
      </c>
    </row>
    <row r="1917" spans="27:29">
      <c r="AA1917" s="50">
        <v>488.8</v>
      </c>
      <c r="AB1917" s="51">
        <v>73.567999999999998</v>
      </c>
      <c r="AC1917" s="52">
        <f t="shared" si="561"/>
        <v>0.13331105041081498</v>
      </c>
    </row>
    <row r="1918" spans="27:29">
      <c r="AA1918" s="50">
        <v>488.7</v>
      </c>
      <c r="AB1918" s="51">
        <v>73.385000000000005</v>
      </c>
      <c r="AC1918" s="52">
        <f t="shared" si="561"/>
        <v>0.13439270143217658</v>
      </c>
    </row>
    <row r="1919" spans="27:29">
      <c r="AA1919" s="50">
        <v>488.6</v>
      </c>
      <c r="AB1919" s="51">
        <v>73.236000000000004</v>
      </c>
      <c r="AC1919" s="52">
        <f t="shared" si="561"/>
        <v>0.13527538399578209</v>
      </c>
    </row>
    <row r="1920" spans="27:29">
      <c r="AA1920" s="50">
        <v>488.5</v>
      </c>
      <c r="AB1920" s="51">
        <v>73.106999999999999</v>
      </c>
      <c r="AC1920" s="52">
        <f t="shared" si="561"/>
        <v>0.13604103732633052</v>
      </c>
    </row>
    <row r="1921" spans="27:29">
      <c r="AA1921" s="50">
        <v>488.4</v>
      </c>
      <c r="AB1921" s="51">
        <v>73.05</v>
      </c>
      <c r="AC1921" s="52">
        <f t="shared" si="561"/>
        <v>0.13637977972968446</v>
      </c>
    </row>
    <row r="1922" spans="27:29">
      <c r="AA1922" s="50">
        <v>488.3</v>
      </c>
      <c r="AB1922" s="51">
        <v>72.962000000000003</v>
      </c>
      <c r="AC1922" s="52">
        <f t="shared" si="561"/>
        <v>0.1369032698405637</v>
      </c>
    </row>
    <row r="1923" spans="27:29">
      <c r="AA1923" s="50">
        <v>488.2</v>
      </c>
      <c r="AB1923" s="51">
        <v>72.962000000000003</v>
      </c>
      <c r="AC1923" s="52">
        <f t="shared" si="561"/>
        <v>0.1369032698405637</v>
      </c>
    </row>
    <row r="1924" spans="27:29">
      <c r="AA1924" s="50">
        <v>488.1</v>
      </c>
      <c r="AB1924" s="51">
        <v>72.947000000000003</v>
      </c>
      <c r="AC1924" s="52">
        <f t="shared" si="561"/>
        <v>0.13699256408905416</v>
      </c>
    </row>
    <row r="1925" spans="27:29">
      <c r="AA1925" s="50">
        <v>488</v>
      </c>
      <c r="AB1925" s="51">
        <v>72.966999999999999</v>
      </c>
      <c r="AC1925" s="52">
        <f t="shared" si="561"/>
        <v>0.13687350917050681</v>
      </c>
    </row>
    <row r="1926" spans="27:29">
      <c r="AA1926" s="50">
        <v>487.9</v>
      </c>
      <c r="AB1926" s="51">
        <v>73.049000000000007</v>
      </c>
      <c r="AC1926" s="52">
        <f t="shared" si="561"/>
        <v>0.13638572493782283</v>
      </c>
    </row>
    <row r="1927" spans="27:29">
      <c r="AA1927" s="50">
        <v>487.8</v>
      </c>
      <c r="AB1927" s="51">
        <v>73.075000000000003</v>
      </c>
      <c r="AC1927" s="52">
        <f t="shared" si="561"/>
        <v>0.13623117597052595</v>
      </c>
    </row>
    <row r="1928" spans="27:29">
      <c r="AA1928" s="50">
        <v>487.7</v>
      </c>
      <c r="AB1928" s="51">
        <v>73.174000000000007</v>
      </c>
      <c r="AC1928" s="52">
        <f t="shared" si="561"/>
        <v>0.13564320394643464</v>
      </c>
    </row>
    <row r="1929" spans="27:29">
      <c r="AA1929" s="50">
        <v>487.6</v>
      </c>
      <c r="AB1929" s="51">
        <v>73.277000000000001</v>
      </c>
      <c r="AC1929" s="52">
        <f t="shared" si="561"/>
        <v>0.13503231922715636</v>
      </c>
    </row>
    <row r="1930" spans="27:29">
      <c r="AA1930" s="50">
        <v>487.5</v>
      </c>
      <c r="AB1930" s="51">
        <v>73.372</v>
      </c>
      <c r="AC1930" s="52">
        <f t="shared" ref="AC1930:AC1993" si="562">-LOG(AB1930/100)</f>
        <v>0.13446964261085298</v>
      </c>
    </row>
    <row r="1931" spans="27:29">
      <c r="AA1931" s="50">
        <v>487.4</v>
      </c>
      <c r="AB1931" s="51">
        <v>73.483000000000004</v>
      </c>
      <c r="AC1931" s="52">
        <f t="shared" si="562"/>
        <v>0.13381312159799655</v>
      </c>
    </row>
    <row r="1932" spans="27:29">
      <c r="AA1932" s="50">
        <v>487.3</v>
      </c>
      <c r="AB1932" s="51">
        <v>73.584999999999994</v>
      </c>
      <c r="AC1932" s="52">
        <f t="shared" si="562"/>
        <v>0.13321070578684951</v>
      </c>
    </row>
    <row r="1933" spans="27:29">
      <c r="AA1933" s="50">
        <v>487.2</v>
      </c>
      <c r="AB1933" s="51">
        <v>73.676000000000002</v>
      </c>
      <c r="AC1933" s="52">
        <f t="shared" si="562"/>
        <v>0.13267396078466009</v>
      </c>
    </row>
    <row r="1934" spans="27:29">
      <c r="AA1934" s="50">
        <v>487.1</v>
      </c>
      <c r="AB1934" s="51">
        <v>73.825000000000003</v>
      </c>
      <c r="AC1934" s="52">
        <f t="shared" si="562"/>
        <v>0.13179654436288391</v>
      </c>
    </row>
    <row r="1935" spans="27:29">
      <c r="AA1935" s="50">
        <v>487</v>
      </c>
      <c r="AB1935" s="51">
        <v>73.938000000000002</v>
      </c>
      <c r="AC1935" s="52">
        <f t="shared" si="562"/>
        <v>0.13113230113525756</v>
      </c>
    </row>
    <row r="1936" spans="27:29">
      <c r="AA1936" s="50">
        <v>486.9</v>
      </c>
      <c r="AB1936" s="51">
        <v>74.046000000000006</v>
      </c>
      <c r="AC1936" s="52">
        <f t="shared" si="562"/>
        <v>0.13049839730277746</v>
      </c>
    </row>
    <row r="1937" spans="27:29">
      <c r="AA1937" s="50">
        <v>486.8</v>
      </c>
      <c r="AB1937" s="51">
        <v>74.125</v>
      </c>
      <c r="AC1937" s="52">
        <f t="shared" si="562"/>
        <v>0.13003529362768099</v>
      </c>
    </row>
    <row r="1938" spans="27:29">
      <c r="AA1938" s="50">
        <v>486.7</v>
      </c>
      <c r="AB1938" s="51">
        <v>74.233999999999995</v>
      </c>
      <c r="AC1938" s="52">
        <f t="shared" si="562"/>
        <v>0.12939713743836981</v>
      </c>
    </row>
    <row r="1939" spans="27:29">
      <c r="AA1939" s="50">
        <v>486.6</v>
      </c>
      <c r="AB1939" s="51">
        <v>74.290000000000006</v>
      </c>
      <c r="AC1939" s="52">
        <f t="shared" si="562"/>
        <v>0.12906964165130416</v>
      </c>
    </row>
    <row r="1940" spans="27:29">
      <c r="AA1940" s="50">
        <v>486.5</v>
      </c>
      <c r="AB1940" s="51">
        <v>74.289000000000001</v>
      </c>
      <c r="AC1940" s="52">
        <f t="shared" si="562"/>
        <v>0.12907548762525622</v>
      </c>
    </row>
    <row r="1941" spans="27:29">
      <c r="AA1941" s="50">
        <v>486.4</v>
      </c>
      <c r="AB1941" s="51">
        <v>74.260000000000005</v>
      </c>
      <c r="AC1941" s="52">
        <f t="shared" si="562"/>
        <v>0.1292450551098599</v>
      </c>
    </row>
    <row r="1942" spans="27:29">
      <c r="AA1942" s="50">
        <v>486.3</v>
      </c>
      <c r="AB1942" s="51">
        <v>74.233999999999995</v>
      </c>
      <c r="AC1942" s="52">
        <f t="shared" si="562"/>
        <v>0.12939713743836981</v>
      </c>
    </row>
    <row r="1943" spans="27:29">
      <c r="AA1943" s="50">
        <v>486.2</v>
      </c>
      <c r="AB1943" s="51">
        <v>74.239000000000004</v>
      </c>
      <c r="AC1943" s="52">
        <f t="shared" si="562"/>
        <v>0.12936788670038596</v>
      </c>
    </row>
    <row r="1944" spans="27:29">
      <c r="AA1944" s="50">
        <v>486.1</v>
      </c>
      <c r="AB1944" s="51">
        <v>74.165000000000006</v>
      </c>
      <c r="AC1944" s="52">
        <f t="shared" si="562"/>
        <v>0.12980099893892977</v>
      </c>
    </row>
    <row r="1945" spans="27:29">
      <c r="AA1945" s="50">
        <v>486</v>
      </c>
      <c r="AB1945" s="51">
        <v>74.070999999999998</v>
      </c>
      <c r="AC1945" s="52">
        <f t="shared" si="562"/>
        <v>0.13035179208999731</v>
      </c>
    </row>
    <row r="1946" spans="27:29">
      <c r="AA1946" s="50">
        <v>485.9</v>
      </c>
      <c r="AB1946" s="51">
        <v>73.948999999999998</v>
      </c>
      <c r="AC1946" s="52">
        <f t="shared" si="562"/>
        <v>0.13106769451926367</v>
      </c>
    </row>
    <row r="1947" spans="27:29">
      <c r="AA1947" s="50">
        <v>485.8</v>
      </c>
      <c r="AB1947" s="51">
        <v>73.832999999999998</v>
      </c>
      <c r="AC1947" s="52">
        <f t="shared" si="562"/>
        <v>0.13174948486243532</v>
      </c>
    </row>
    <row r="1948" spans="27:29">
      <c r="AA1948" s="50">
        <v>485.7</v>
      </c>
      <c r="AB1948" s="51">
        <v>73.721999999999994</v>
      </c>
      <c r="AC1948" s="52">
        <f t="shared" si="562"/>
        <v>0.13240289134252228</v>
      </c>
    </row>
    <row r="1949" spans="27:29">
      <c r="AA1949" s="50">
        <v>485.6</v>
      </c>
      <c r="AB1949" s="51">
        <v>73.584999999999994</v>
      </c>
      <c r="AC1949" s="52">
        <f t="shared" si="562"/>
        <v>0.13321070578684951</v>
      </c>
    </row>
    <row r="1950" spans="27:29">
      <c r="AA1950" s="50">
        <v>485.5</v>
      </c>
      <c r="AB1950" s="51">
        <v>73.421999999999997</v>
      </c>
      <c r="AC1950" s="52">
        <f t="shared" si="562"/>
        <v>0.13417378957959936</v>
      </c>
    </row>
    <row r="1951" spans="27:29">
      <c r="AA1951" s="50">
        <v>485.4</v>
      </c>
      <c r="AB1951" s="51">
        <v>73.209000000000003</v>
      </c>
      <c r="AC1951" s="52">
        <f t="shared" si="562"/>
        <v>0.13543552536140402</v>
      </c>
    </row>
    <row r="1952" spans="27:29">
      <c r="AA1952" s="50">
        <v>485.3</v>
      </c>
      <c r="AB1952" s="51">
        <v>73.031000000000006</v>
      </c>
      <c r="AC1952" s="52">
        <f t="shared" si="562"/>
        <v>0.13649275260367477</v>
      </c>
    </row>
    <row r="1953" spans="27:29">
      <c r="AA1953" s="50">
        <v>485.2</v>
      </c>
      <c r="AB1953" s="51">
        <v>72.832999999999998</v>
      </c>
      <c r="AC1953" s="52">
        <f t="shared" si="562"/>
        <v>0.13767180103553625</v>
      </c>
    </row>
    <row r="1954" spans="27:29">
      <c r="AA1954" s="50">
        <v>485.1</v>
      </c>
      <c r="AB1954" s="51">
        <v>72.625</v>
      </c>
      <c r="AC1954" s="52">
        <f t="shared" si="562"/>
        <v>0.13891385460161287</v>
      </c>
    </row>
    <row r="1955" spans="27:29">
      <c r="AA1955" s="50">
        <v>485</v>
      </c>
      <c r="AB1955" s="51">
        <v>72.450999999999993</v>
      </c>
      <c r="AC1955" s="52">
        <f t="shared" si="562"/>
        <v>0.13995561583138869</v>
      </c>
    </row>
    <row r="1956" spans="27:29">
      <c r="AA1956" s="50">
        <v>484.9</v>
      </c>
      <c r="AB1956" s="51">
        <v>72.286000000000001</v>
      </c>
      <c r="AC1956" s="52">
        <f t="shared" si="562"/>
        <v>0.14094580659887027</v>
      </c>
    </row>
    <row r="1957" spans="27:29">
      <c r="AA1957" s="50">
        <v>484.8</v>
      </c>
      <c r="AB1957" s="51">
        <v>72.14</v>
      </c>
      <c r="AC1957" s="52">
        <f t="shared" si="562"/>
        <v>0.14182386201765568</v>
      </c>
    </row>
    <row r="1958" spans="27:29">
      <c r="AA1958" s="50">
        <v>484.7</v>
      </c>
      <c r="AB1958" s="51">
        <v>72.019000000000005</v>
      </c>
      <c r="AC1958" s="52">
        <f t="shared" si="562"/>
        <v>0.14255291319934918</v>
      </c>
    </row>
    <row r="1959" spans="27:29">
      <c r="AA1959" s="50">
        <v>484.6</v>
      </c>
      <c r="AB1959" s="51">
        <v>71.884</v>
      </c>
      <c r="AC1959" s="52">
        <f t="shared" si="562"/>
        <v>0.14336776448468447</v>
      </c>
    </row>
    <row r="1960" spans="27:29">
      <c r="AA1960" s="50">
        <v>484.5</v>
      </c>
      <c r="AB1960" s="51">
        <v>71.817999999999998</v>
      </c>
      <c r="AC1960" s="52">
        <f t="shared" si="562"/>
        <v>0.14376669334887643</v>
      </c>
    </row>
    <row r="1961" spans="27:29">
      <c r="AA1961" s="50">
        <v>484.4</v>
      </c>
      <c r="AB1961" s="51">
        <v>71.760999999999996</v>
      </c>
      <c r="AC1961" s="52">
        <f t="shared" si="562"/>
        <v>0.14411151796485747</v>
      </c>
    </row>
    <row r="1962" spans="27:29">
      <c r="AA1962" s="50">
        <v>484.3</v>
      </c>
      <c r="AB1962" s="51">
        <v>71.721999999999994</v>
      </c>
      <c r="AC1962" s="52">
        <f t="shared" si="562"/>
        <v>0.14434760844542088</v>
      </c>
    </row>
    <row r="1963" spans="27:29">
      <c r="AA1963" s="50">
        <v>484.2</v>
      </c>
      <c r="AB1963" s="51">
        <v>71.781000000000006</v>
      </c>
      <c r="AC1963" s="52">
        <f t="shared" si="562"/>
        <v>0.14399049568992361</v>
      </c>
    </row>
    <row r="1964" spans="27:29">
      <c r="AA1964" s="50">
        <v>484.1</v>
      </c>
      <c r="AB1964" s="51">
        <v>71.881</v>
      </c>
      <c r="AC1964" s="52">
        <f t="shared" si="562"/>
        <v>0.14338588966739099</v>
      </c>
    </row>
    <row r="1965" spans="27:29">
      <c r="AA1965" s="50">
        <v>484</v>
      </c>
      <c r="AB1965" s="51">
        <v>72.022000000000006</v>
      </c>
      <c r="AC1965" s="52">
        <f t="shared" si="562"/>
        <v>0.14253482274668783</v>
      </c>
    </row>
    <row r="1966" spans="27:29">
      <c r="AA1966" s="50">
        <v>483.9</v>
      </c>
      <c r="AB1966" s="51">
        <v>72.177999999999997</v>
      </c>
      <c r="AC1966" s="52">
        <f t="shared" si="562"/>
        <v>0.14159515609471171</v>
      </c>
    </row>
    <row r="1967" spans="27:29">
      <c r="AA1967" s="50">
        <v>483.8</v>
      </c>
      <c r="AB1967" s="51">
        <v>72.376000000000005</v>
      </c>
      <c r="AC1967" s="52">
        <f t="shared" si="562"/>
        <v>0.14040542269135883</v>
      </c>
    </row>
    <row r="1968" spans="27:29">
      <c r="AA1968" s="50">
        <v>483.7</v>
      </c>
      <c r="AB1968" s="51">
        <v>72.608000000000004</v>
      </c>
      <c r="AC1968" s="52">
        <f t="shared" si="562"/>
        <v>0.13901552579515802</v>
      </c>
    </row>
    <row r="1969" spans="27:29">
      <c r="AA1969" s="50">
        <v>483.6</v>
      </c>
      <c r="AB1969" s="51">
        <v>72.927999999999997</v>
      </c>
      <c r="AC1969" s="52">
        <f t="shared" si="562"/>
        <v>0.13710569649971849</v>
      </c>
    </row>
    <row r="1970" spans="27:29">
      <c r="AA1970" s="50">
        <v>483.5</v>
      </c>
      <c r="AB1970" s="51">
        <v>73.213999999999999</v>
      </c>
      <c r="AC1970" s="52">
        <f t="shared" si="562"/>
        <v>0.13540586509750613</v>
      </c>
    </row>
    <row r="1971" spans="27:29">
      <c r="AA1971" s="50">
        <v>483.4</v>
      </c>
      <c r="AB1971" s="51">
        <v>73.546000000000006</v>
      </c>
      <c r="AC1971" s="52">
        <f t="shared" si="562"/>
        <v>0.13344094258522518</v>
      </c>
    </row>
    <row r="1972" spans="27:29">
      <c r="AA1972" s="50">
        <v>483.3</v>
      </c>
      <c r="AB1972" s="51">
        <v>73.861999999999995</v>
      </c>
      <c r="AC1972" s="52">
        <f t="shared" si="562"/>
        <v>0.13157893690702654</v>
      </c>
    </row>
    <row r="1973" spans="27:29">
      <c r="AA1973" s="50">
        <v>483.2</v>
      </c>
      <c r="AB1973" s="51">
        <v>74.194999999999993</v>
      </c>
      <c r="AC1973" s="52">
        <f t="shared" si="562"/>
        <v>0.12962536083385198</v>
      </c>
    </row>
    <row r="1974" spans="27:29">
      <c r="AA1974" s="50">
        <v>483.1</v>
      </c>
      <c r="AB1974" s="51">
        <v>74.513999999999996</v>
      </c>
      <c r="AC1974" s="52">
        <f t="shared" si="562"/>
        <v>0.12776212253316352</v>
      </c>
    </row>
    <row r="1975" spans="27:29">
      <c r="AA1975" s="50">
        <v>483</v>
      </c>
      <c r="AB1975" s="51">
        <v>74.867000000000004</v>
      </c>
      <c r="AC1975" s="52">
        <f t="shared" si="562"/>
        <v>0.12570956916325687</v>
      </c>
    </row>
    <row r="1976" spans="27:29">
      <c r="AA1976" s="50">
        <v>482.9</v>
      </c>
      <c r="AB1976" s="51">
        <v>75.251999999999995</v>
      </c>
      <c r="AC1976" s="52">
        <f t="shared" si="562"/>
        <v>0.12348195317702536</v>
      </c>
    </row>
    <row r="1977" spans="27:29">
      <c r="AA1977" s="50">
        <v>482.8</v>
      </c>
      <c r="AB1977" s="51">
        <v>75.58</v>
      </c>
      <c r="AC1977" s="52">
        <f t="shared" si="562"/>
        <v>0.12159311241900428</v>
      </c>
    </row>
    <row r="1978" spans="27:29">
      <c r="AA1978" s="50">
        <v>482.7</v>
      </c>
      <c r="AB1978" s="51">
        <v>75.933999999999997</v>
      </c>
      <c r="AC1978" s="52">
        <f t="shared" si="562"/>
        <v>0.11956372204791149</v>
      </c>
    </row>
    <row r="1979" spans="27:29">
      <c r="AA1979" s="50">
        <v>482.6</v>
      </c>
      <c r="AB1979" s="51">
        <v>76.247</v>
      </c>
      <c r="AC1979" s="52">
        <f t="shared" si="562"/>
        <v>0.11777723931333231</v>
      </c>
    </row>
    <row r="1980" spans="27:29">
      <c r="AA1980" s="50">
        <v>482.5</v>
      </c>
      <c r="AB1980" s="51">
        <v>76.525000000000006</v>
      </c>
      <c r="AC1980" s="52">
        <f t="shared" si="562"/>
        <v>0.11619666173062769</v>
      </c>
    </row>
    <row r="1981" spans="27:29">
      <c r="AA1981" s="50">
        <v>482.4</v>
      </c>
      <c r="AB1981" s="51">
        <v>76.781999999999996</v>
      </c>
      <c r="AC1981" s="52">
        <f t="shared" si="562"/>
        <v>0.11474057966780242</v>
      </c>
    </row>
    <row r="1982" spans="27:29">
      <c r="AA1982" s="50">
        <v>482.3</v>
      </c>
      <c r="AB1982" s="51">
        <v>77.125</v>
      </c>
      <c r="AC1982" s="52">
        <f t="shared" si="562"/>
        <v>0.11280482295870191</v>
      </c>
    </row>
    <row r="1983" spans="27:29">
      <c r="AA1983" s="50">
        <v>482.2</v>
      </c>
      <c r="AB1983" s="51">
        <v>77.400000000000006</v>
      </c>
      <c r="AC1983" s="52">
        <f t="shared" si="562"/>
        <v>0.11125903931710739</v>
      </c>
    </row>
    <row r="1984" spans="27:29">
      <c r="AA1984" s="50">
        <v>482.1</v>
      </c>
      <c r="AB1984" s="51">
        <v>77.673000000000002</v>
      </c>
      <c r="AC1984" s="52">
        <f t="shared" si="562"/>
        <v>0.10972992056602104</v>
      </c>
    </row>
    <row r="1985" spans="27:29">
      <c r="AA1985" s="50">
        <v>482</v>
      </c>
      <c r="AB1985" s="51">
        <v>77.888999999999996</v>
      </c>
      <c r="AC1985" s="52">
        <f t="shared" si="562"/>
        <v>0.10852387193747061</v>
      </c>
    </row>
    <row r="1986" spans="27:29">
      <c r="AA1986" s="50">
        <v>481.9</v>
      </c>
      <c r="AB1986" s="51">
        <v>78.143000000000001</v>
      </c>
      <c r="AC1986" s="52">
        <f t="shared" si="562"/>
        <v>0.1071099197245465</v>
      </c>
    </row>
    <row r="1987" spans="27:29">
      <c r="AA1987" s="50">
        <v>481.8</v>
      </c>
      <c r="AB1987" s="51">
        <v>78.393000000000001</v>
      </c>
      <c r="AC1987" s="52">
        <f t="shared" si="562"/>
        <v>0.10572271533977619</v>
      </c>
    </row>
    <row r="1988" spans="27:29">
      <c r="AA1988" s="50">
        <v>481.7</v>
      </c>
      <c r="AB1988" s="51">
        <v>78.682000000000002</v>
      </c>
      <c r="AC1988" s="52">
        <f t="shared" si="562"/>
        <v>0.10412460937897842</v>
      </c>
    </row>
    <row r="1989" spans="27:29">
      <c r="AA1989" s="50">
        <v>481.6</v>
      </c>
      <c r="AB1989" s="51">
        <v>78.945999999999998</v>
      </c>
      <c r="AC1989" s="52">
        <f t="shared" si="562"/>
        <v>0.10266986973340884</v>
      </c>
    </row>
    <row r="1990" spans="27:29">
      <c r="AA1990" s="50">
        <v>481.5</v>
      </c>
      <c r="AB1990" s="51">
        <v>79.222999999999999</v>
      </c>
      <c r="AC1990" s="52">
        <f t="shared" si="562"/>
        <v>0.10114871584769738</v>
      </c>
    </row>
    <row r="1991" spans="27:29">
      <c r="AA1991" s="50">
        <v>481.4</v>
      </c>
      <c r="AB1991" s="51">
        <v>79.488</v>
      </c>
      <c r="AC1991" s="52">
        <f t="shared" si="562"/>
        <v>9.9698430175551425E-2</v>
      </c>
    </row>
    <row r="1992" spans="27:29">
      <c r="AA1992" s="50">
        <v>481.3</v>
      </c>
      <c r="AB1992" s="51">
        <v>79.763999999999996</v>
      </c>
      <c r="AC1992" s="52">
        <f t="shared" si="562"/>
        <v>9.8193075178234487E-2</v>
      </c>
    </row>
    <row r="1993" spans="27:29">
      <c r="AA1993" s="50">
        <v>481.2</v>
      </c>
      <c r="AB1993" s="51">
        <v>80.022000000000006</v>
      </c>
      <c r="AC1993" s="52">
        <f t="shared" si="562"/>
        <v>9.679059844428306E-2</v>
      </c>
    </row>
    <row r="1994" spans="27:29">
      <c r="AA1994" s="50">
        <v>481.1</v>
      </c>
      <c r="AB1994" s="51">
        <v>80.290999999999997</v>
      </c>
      <c r="AC1994" s="52">
        <f t="shared" ref="AC1994:AC2057" si="563">-LOG(AB1994/100)</f>
        <v>9.5333133045026122E-2</v>
      </c>
    </row>
    <row r="1995" spans="27:29">
      <c r="AA1995" s="50">
        <v>481</v>
      </c>
      <c r="AB1995" s="51">
        <v>80.561000000000007</v>
      </c>
      <c r="AC1995" s="52">
        <f t="shared" si="563"/>
        <v>9.3875151543484386E-2</v>
      </c>
    </row>
    <row r="1996" spans="27:29">
      <c r="AA1996" s="50">
        <v>480.9</v>
      </c>
      <c r="AB1996" s="51">
        <v>80.831000000000003</v>
      </c>
      <c r="AC1996" s="52">
        <f t="shared" si="563"/>
        <v>9.242204829788031E-2</v>
      </c>
    </row>
    <row r="1997" spans="27:29">
      <c r="AA1997" s="50">
        <v>480.8</v>
      </c>
      <c r="AB1997" s="51">
        <v>81.069000000000003</v>
      </c>
      <c r="AC1997" s="52">
        <f t="shared" si="563"/>
        <v>9.114518404650096E-2</v>
      </c>
    </row>
    <row r="1998" spans="27:29">
      <c r="AA1998" s="50">
        <v>480.7</v>
      </c>
      <c r="AB1998" s="51">
        <v>81.335999999999999</v>
      </c>
      <c r="AC1998" s="52">
        <f t="shared" si="563"/>
        <v>8.9717189451015741E-2</v>
      </c>
    </row>
    <row r="1999" spans="27:29">
      <c r="AA1999" s="50">
        <v>480.6</v>
      </c>
      <c r="AB1999" s="51">
        <v>81.558999999999997</v>
      </c>
      <c r="AC1999" s="52">
        <f t="shared" si="563"/>
        <v>8.8528107773058362E-2</v>
      </c>
    </row>
    <row r="2000" spans="27:29">
      <c r="AA2000" s="50">
        <v>480.5</v>
      </c>
      <c r="AB2000" s="51">
        <v>81.775000000000006</v>
      </c>
      <c r="AC2000" s="52">
        <f t="shared" si="563"/>
        <v>8.7379447202980715E-2</v>
      </c>
    </row>
    <row r="2001" spans="27:29">
      <c r="AA2001" s="50">
        <v>480.4</v>
      </c>
      <c r="AB2001" s="51">
        <v>81.977999999999994</v>
      </c>
      <c r="AC2001" s="52">
        <f t="shared" si="563"/>
        <v>8.6302681281277396E-2</v>
      </c>
    </row>
    <row r="2002" spans="27:29">
      <c r="AA2002" s="50">
        <v>480.3</v>
      </c>
      <c r="AB2002" s="51">
        <v>82.210999999999999</v>
      </c>
      <c r="AC2002" s="52">
        <f t="shared" si="563"/>
        <v>8.5070069081792848E-2</v>
      </c>
    </row>
    <row r="2003" spans="27:29">
      <c r="AA2003" s="50">
        <v>480.2</v>
      </c>
      <c r="AB2003" s="51">
        <v>82.472999999999999</v>
      </c>
      <c r="AC2003" s="52">
        <f t="shared" si="563"/>
        <v>8.3688207452767296E-2</v>
      </c>
    </row>
    <row r="2004" spans="27:29">
      <c r="AA2004" s="50">
        <v>480.1</v>
      </c>
      <c r="AB2004" s="51">
        <v>82.67</v>
      </c>
      <c r="AC2004" s="52">
        <f t="shared" si="563"/>
        <v>8.2652062372228371E-2</v>
      </c>
    </row>
    <row r="2005" spans="27:29">
      <c r="AA2005" s="50">
        <v>480</v>
      </c>
      <c r="AB2005" s="51">
        <v>82.861999999999995</v>
      </c>
      <c r="AC2005" s="52">
        <f t="shared" si="563"/>
        <v>8.1644588555449413E-2</v>
      </c>
    </row>
    <row r="2006" spans="27:29">
      <c r="AA2006" s="50">
        <v>479.9</v>
      </c>
      <c r="AB2006" s="51">
        <v>83.013999999999996</v>
      </c>
      <c r="AC2006" s="52">
        <f t="shared" si="563"/>
        <v>8.0848659310397628E-2</v>
      </c>
    </row>
    <row r="2007" spans="27:29">
      <c r="AA2007" s="50">
        <v>479.8</v>
      </c>
      <c r="AB2007" s="51">
        <v>83.195999999999998</v>
      </c>
      <c r="AC2007" s="52">
        <f t="shared" si="563"/>
        <v>7.9897553753603398E-2</v>
      </c>
    </row>
    <row r="2008" spans="27:29">
      <c r="AA2008" s="50">
        <v>479.7</v>
      </c>
      <c r="AB2008" s="51">
        <v>83.409000000000006</v>
      </c>
      <c r="AC2008" s="52">
        <f t="shared" si="563"/>
        <v>7.8787085579840349E-2</v>
      </c>
    </row>
    <row r="2009" spans="27:29">
      <c r="AA2009" s="50">
        <v>479.6</v>
      </c>
      <c r="AB2009" s="51">
        <v>83.512</v>
      </c>
      <c r="AC2009" s="52">
        <f t="shared" si="563"/>
        <v>7.8251115422538722E-2</v>
      </c>
    </row>
    <row r="2010" spans="27:29">
      <c r="AA2010" s="50">
        <v>479.5</v>
      </c>
      <c r="AB2010" s="51">
        <v>83.679000000000002</v>
      </c>
      <c r="AC2010" s="52">
        <f t="shared" si="563"/>
        <v>7.7383518451429253E-2</v>
      </c>
    </row>
    <row r="2011" spans="27:29">
      <c r="AA2011" s="50">
        <v>479.4</v>
      </c>
      <c r="AB2011" s="51">
        <v>83.787000000000006</v>
      </c>
      <c r="AC2011" s="52">
        <f t="shared" si="563"/>
        <v>7.6823359248390233E-2</v>
      </c>
    </row>
    <row r="2012" spans="27:29">
      <c r="AA2012" s="50">
        <v>479.3</v>
      </c>
      <c r="AB2012" s="51">
        <v>83.930999999999997</v>
      </c>
      <c r="AC2012" s="52">
        <f t="shared" si="563"/>
        <v>7.6077602433246433E-2</v>
      </c>
    </row>
    <row r="2013" spans="27:29">
      <c r="AA2013" s="50">
        <v>479.2</v>
      </c>
      <c r="AB2013" s="51">
        <v>83.968000000000004</v>
      </c>
      <c r="AC2013" s="52">
        <f t="shared" si="563"/>
        <v>7.5886190976471368E-2</v>
      </c>
    </row>
    <row r="2014" spans="27:29">
      <c r="AA2014" s="50">
        <v>479.1</v>
      </c>
      <c r="AB2014" s="51">
        <v>84.048000000000002</v>
      </c>
      <c r="AC2014" s="52">
        <f t="shared" si="563"/>
        <v>7.5472616540966639E-2</v>
      </c>
    </row>
    <row r="2015" spans="27:29">
      <c r="AA2015" s="50">
        <v>479</v>
      </c>
      <c r="AB2015" s="51">
        <v>84.076999999999998</v>
      </c>
      <c r="AC2015" s="52">
        <f t="shared" si="563"/>
        <v>7.532279301561226E-2</v>
      </c>
    </row>
    <row r="2016" spans="27:29">
      <c r="AA2016" s="50">
        <v>478.9</v>
      </c>
      <c r="AB2016" s="51">
        <v>84.119</v>
      </c>
      <c r="AC2016" s="52">
        <f t="shared" si="563"/>
        <v>7.5105898813383212E-2</v>
      </c>
    </row>
    <row r="2017" spans="27:29">
      <c r="AA2017" s="50">
        <v>478.8</v>
      </c>
      <c r="AB2017" s="51">
        <v>84.201999999999998</v>
      </c>
      <c r="AC2017" s="52">
        <f t="shared" si="563"/>
        <v>7.4677592839445681E-2</v>
      </c>
    </row>
    <row r="2018" spans="27:29">
      <c r="AA2018" s="50">
        <v>478.7</v>
      </c>
      <c r="AB2018" s="51">
        <v>84.138000000000005</v>
      </c>
      <c r="AC2018" s="52">
        <f t="shared" si="563"/>
        <v>7.5007815581289022E-2</v>
      </c>
    </row>
    <row r="2019" spans="27:29">
      <c r="AA2019" s="50">
        <v>478.6</v>
      </c>
      <c r="AB2019" s="51">
        <v>84.067999999999998</v>
      </c>
      <c r="AC2019" s="52">
        <f t="shared" si="563"/>
        <v>7.5369284440761547E-2</v>
      </c>
    </row>
    <row r="2020" spans="27:29">
      <c r="AA2020" s="50">
        <v>478.5</v>
      </c>
      <c r="AB2020" s="51">
        <v>83.942999999999998</v>
      </c>
      <c r="AC2020" s="52">
        <f t="shared" si="563"/>
        <v>7.6015513797820872E-2</v>
      </c>
    </row>
    <row r="2021" spans="27:29">
      <c r="AA2021" s="50">
        <v>478.4</v>
      </c>
      <c r="AB2021" s="51">
        <v>83.882999999999996</v>
      </c>
      <c r="AC2021" s="52">
        <f t="shared" si="563"/>
        <v>7.6326045777661763E-2</v>
      </c>
    </row>
    <row r="2022" spans="27:29">
      <c r="AA2022" s="50">
        <v>478.3</v>
      </c>
      <c r="AB2022" s="51">
        <v>83.766999999999996</v>
      </c>
      <c r="AC2022" s="52">
        <f t="shared" si="563"/>
        <v>7.6927037939192311E-2</v>
      </c>
    </row>
    <row r="2023" spans="27:29">
      <c r="AA2023" s="50">
        <v>478.2</v>
      </c>
      <c r="AB2023" s="51">
        <v>83.644000000000005</v>
      </c>
      <c r="AC2023" s="52">
        <f t="shared" si="563"/>
        <v>7.7565206648369397E-2</v>
      </c>
    </row>
    <row r="2024" spans="27:29">
      <c r="AA2024" s="50">
        <v>478.1</v>
      </c>
      <c r="AB2024" s="51">
        <v>83.456000000000003</v>
      </c>
      <c r="AC2024" s="52">
        <f t="shared" si="563"/>
        <v>7.854243462021139E-2</v>
      </c>
    </row>
    <row r="2025" spans="27:29">
      <c r="AA2025" s="50">
        <v>478</v>
      </c>
      <c r="AB2025" s="51">
        <v>83.275000000000006</v>
      </c>
      <c r="AC2025" s="52">
        <f t="shared" si="563"/>
        <v>7.9485358636785533E-2</v>
      </c>
    </row>
    <row r="2026" spans="27:29">
      <c r="AA2026" s="50">
        <v>477.9</v>
      </c>
      <c r="AB2026" s="51">
        <v>83.105999999999995</v>
      </c>
      <c r="AC2026" s="52">
        <f t="shared" si="563"/>
        <v>8.0367620345552823E-2</v>
      </c>
    </row>
    <row r="2027" spans="27:29">
      <c r="AA2027" s="50">
        <v>477.8</v>
      </c>
      <c r="AB2027" s="51">
        <v>82.831999999999994</v>
      </c>
      <c r="AC2027" s="52">
        <f t="shared" si="563"/>
        <v>8.1801852362219291E-2</v>
      </c>
    </row>
    <row r="2028" spans="27:29">
      <c r="AA2028" s="50">
        <v>477.7</v>
      </c>
      <c r="AB2028" s="51">
        <v>82.522000000000006</v>
      </c>
      <c r="AC2028" s="52">
        <f t="shared" si="563"/>
        <v>8.3430255027070965E-2</v>
      </c>
    </row>
    <row r="2029" spans="27:29">
      <c r="AA2029" s="50">
        <v>477.6</v>
      </c>
      <c r="AB2029" s="51">
        <v>82.272000000000006</v>
      </c>
      <c r="AC2029" s="52">
        <f t="shared" si="563"/>
        <v>8.4747945037233416E-2</v>
      </c>
    </row>
    <row r="2030" spans="27:29">
      <c r="AA2030" s="50">
        <v>477.5</v>
      </c>
      <c r="AB2030" s="51">
        <v>82.042000000000002</v>
      </c>
      <c r="AC2030" s="52">
        <f t="shared" si="563"/>
        <v>8.5963761048959031E-2</v>
      </c>
    </row>
    <row r="2031" spans="27:29">
      <c r="AA2031" s="50">
        <v>477.4</v>
      </c>
      <c r="AB2031" s="51">
        <v>81.691000000000003</v>
      </c>
      <c r="AC2031" s="52">
        <f t="shared" si="563"/>
        <v>8.7825787600261107E-2</v>
      </c>
    </row>
    <row r="2032" spans="27:29">
      <c r="AA2032" s="50">
        <v>477.3</v>
      </c>
      <c r="AB2032" s="51">
        <v>81.281999999999996</v>
      </c>
      <c r="AC2032" s="52">
        <f t="shared" si="563"/>
        <v>9.0005618811661858E-2</v>
      </c>
    </row>
    <row r="2033" spans="27:29">
      <c r="AA2033" s="50">
        <v>477.2</v>
      </c>
      <c r="AB2033" s="51">
        <v>80.902000000000001</v>
      </c>
      <c r="AC2033" s="52">
        <f t="shared" si="563"/>
        <v>9.2040741944867291E-2</v>
      </c>
    </row>
    <row r="2034" spans="27:29">
      <c r="AA2034" s="50">
        <v>477.1</v>
      </c>
      <c r="AB2034" s="51">
        <v>80.507999999999996</v>
      </c>
      <c r="AC2034" s="52">
        <f t="shared" si="563"/>
        <v>9.4160962076505914E-2</v>
      </c>
    </row>
    <row r="2035" spans="27:29">
      <c r="AA2035" s="50">
        <v>477</v>
      </c>
      <c r="AB2035" s="51">
        <v>80.131</v>
      </c>
      <c r="AC2035" s="52">
        <f t="shared" si="563"/>
        <v>9.6199437419054734E-2</v>
      </c>
    </row>
    <row r="2036" spans="27:29">
      <c r="AA2036" s="50">
        <v>476.9</v>
      </c>
      <c r="AB2036" s="51">
        <v>79.701999999999998</v>
      </c>
      <c r="AC2036" s="52">
        <f t="shared" si="563"/>
        <v>9.8530780510214425E-2</v>
      </c>
    </row>
    <row r="2037" spans="27:29">
      <c r="AA2037" s="50">
        <v>476.8</v>
      </c>
      <c r="AB2037" s="51">
        <v>79.290999999999997</v>
      </c>
      <c r="AC2037" s="52">
        <f t="shared" si="563"/>
        <v>0.10077610489117633</v>
      </c>
    </row>
    <row r="2038" spans="27:29">
      <c r="AA2038" s="50">
        <v>476.7</v>
      </c>
      <c r="AB2038" s="51">
        <v>78.876000000000005</v>
      </c>
      <c r="AC2038" s="52">
        <f t="shared" si="563"/>
        <v>0.10305512167200741</v>
      </c>
    </row>
    <row r="2039" spans="27:29">
      <c r="AA2039" s="50">
        <v>476.6</v>
      </c>
      <c r="AB2039" s="51">
        <v>78.406999999999996</v>
      </c>
      <c r="AC2039" s="52">
        <f t="shared" si="563"/>
        <v>0.105645162753516</v>
      </c>
    </row>
    <row r="2040" spans="27:29">
      <c r="AA2040" s="50">
        <v>476.5</v>
      </c>
      <c r="AB2040" s="51">
        <v>77.983000000000004</v>
      </c>
      <c r="AC2040" s="52">
        <f t="shared" si="563"/>
        <v>0.10800006155141245</v>
      </c>
    </row>
    <row r="2041" spans="27:29">
      <c r="AA2041" s="50">
        <v>476.4</v>
      </c>
      <c r="AB2041" s="51">
        <v>77.61</v>
      </c>
      <c r="AC2041" s="52">
        <f t="shared" si="563"/>
        <v>0.11008231656379414</v>
      </c>
    </row>
    <row r="2042" spans="27:29">
      <c r="AA2042" s="50">
        <v>476.3</v>
      </c>
      <c r="AB2042" s="51">
        <v>77.159000000000006</v>
      </c>
      <c r="AC2042" s="52">
        <f t="shared" si="563"/>
        <v>0.11261340955713403</v>
      </c>
    </row>
    <row r="2043" spans="27:29">
      <c r="AA2043" s="50">
        <v>476.2</v>
      </c>
      <c r="AB2043" s="51">
        <v>76.802999999999997</v>
      </c>
      <c r="AC2043" s="52">
        <f t="shared" si="563"/>
        <v>0.11462181567162043</v>
      </c>
    </row>
    <row r="2044" spans="27:29">
      <c r="AA2044" s="50">
        <v>476.1</v>
      </c>
      <c r="AB2044" s="51">
        <v>76.408000000000001</v>
      </c>
      <c r="AC2044" s="52">
        <f t="shared" si="563"/>
        <v>0.11686116794309967</v>
      </c>
    </row>
    <row r="2045" spans="27:29">
      <c r="AA2045" s="50">
        <v>476</v>
      </c>
      <c r="AB2045" s="51">
        <v>75.986999999999995</v>
      </c>
      <c r="AC2045" s="52">
        <f t="shared" si="563"/>
        <v>0.11926070128745479</v>
      </c>
    </row>
    <row r="2046" spans="27:29">
      <c r="AA2046" s="50">
        <v>475.9</v>
      </c>
      <c r="AB2046" s="51">
        <v>75.58</v>
      </c>
      <c r="AC2046" s="52">
        <f t="shared" si="563"/>
        <v>0.12159311241900428</v>
      </c>
    </row>
    <row r="2047" spans="27:29">
      <c r="AA2047" s="50">
        <v>475.8</v>
      </c>
      <c r="AB2047" s="51">
        <v>75.204999999999998</v>
      </c>
      <c r="AC2047" s="52">
        <f t="shared" si="563"/>
        <v>0.12375328440539488</v>
      </c>
    </row>
    <row r="2048" spans="27:29">
      <c r="AA2048" s="50">
        <v>475.7</v>
      </c>
      <c r="AB2048" s="51">
        <v>74.887</v>
      </c>
      <c r="AC2048" s="52">
        <f t="shared" si="563"/>
        <v>0.12559356705727365</v>
      </c>
    </row>
    <row r="2049" spans="27:29">
      <c r="AA2049" s="50">
        <v>475.6</v>
      </c>
      <c r="AB2049" s="51">
        <v>74.677999999999997</v>
      </c>
      <c r="AC2049" s="52">
        <f t="shared" si="563"/>
        <v>0.12680732168968165</v>
      </c>
    </row>
    <row r="2050" spans="27:29">
      <c r="AA2050" s="50">
        <v>475.5</v>
      </c>
      <c r="AB2050" s="51">
        <v>74.358999999999995</v>
      </c>
      <c r="AC2050" s="52">
        <f t="shared" si="563"/>
        <v>0.12866645937085106</v>
      </c>
    </row>
    <row r="2051" spans="27:29">
      <c r="AA2051" s="50">
        <v>475.4</v>
      </c>
      <c r="AB2051" s="51">
        <v>74.069000000000003</v>
      </c>
      <c r="AC2051" s="52">
        <f t="shared" si="563"/>
        <v>0.13036351868597212</v>
      </c>
    </row>
    <row r="2052" spans="27:29">
      <c r="AA2052" s="50">
        <v>475.3</v>
      </c>
      <c r="AB2052" s="51">
        <v>73.762</v>
      </c>
      <c r="AC2052" s="52">
        <f t="shared" si="563"/>
        <v>0.13216731623332972</v>
      </c>
    </row>
    <row r="2053" spans="27:29">
      <c r="AA2053" s="50">
        <v>475.2</v>
      </c>
      <c r="AB2053" s="51">
        <v>73.445999999999998</v>
      </c>
      <c r="AC2053" s="52">
        <f t="shared" si="563"/>
        <v>0.1340318516808269</v>
      </c>
    </row>
    <row r="2054" spans="27:29">
      <c r="AA2054" s="50">
        <v>475.1</v>
      </c>
      <c r="AB2054" s="51">
        <v>73.215999999999994</v>
      </c>
      <c r="AC2054" s="52">
        <f t="shared" si="563"/>
        <v>0.13539400155910747</v>
      </c>
    </row>
    <row r="2055" spans="27:29">
      <c r="AA2055" s="50">
        <v>475</v>
      </c>
      <c r="AB2055" s="51">
        <v>73.046999999999997</v>
      </c>
      <c r="AC2055" s="52">
        <f t="shared" si="563"/>
        <v>0.13639761559826344</v>
      </c>
    </row>
    <row r="2056" spans="27:29">
      <c r="AA2056" s="50">
        <v>474.9</v>
      </c>
      <c r="AB2056" s="51">
        <v>72.796999999999997</v>
      </c>
      <c r="AC2056" s="52">
        <f t="shared" si="563"/>
        <v>0.13788651780635255</v>
      </c>
    </row>
    <row r="2057" spans="27:29">
      <c r="AA2057" s="50">
        <v>474.8</v>
      </c>
      <c r="AB2057" s="51">
        <v>72.59</v>
      </c>
      <c r="AC2057" s="52">
        <f t="shared" si="563"/>
        <v>0.13912320359670222</v>
      </c>
    </row>
    <row r="2058" spans="27:29">
      <c r="AA2058" s="50">
        <v>474.7</v>
      </c>
      <c r="AB2058" s="51">
        <v>72.337000000000003</v>
      </c>
      <c r="AC2058" s="52">
        <f t="shared" ref="AC2058:AC2121" si="564">-LOG(AB2058/100)</f>
        <v>0.140639506501442</v>
      </c>
    </row>
    <row r="2059" spans="27:29">
      <c r="AA2059" s="50">
        <v>474.6</v>
      </c>
      <c r="AB2059" s="51">
        <v>72.180000000000007</v>
      </c>
      <c r="AC2059" s="52">
        <f t="shared" si="564"/>
        <v>0.14158312227651157</v>
      </c>
    </row>
    <row r="2060" spans="27:29">
      <c r="AA2060" s="50">
        <v>474.5</v>
      </c>
      <c r="AB2060" s="51">
        <v>72.069999999999993</v>
      </c>
      <c r="AC2060" s="52">
        <f t="shared" si="564"/>
        <v>0.14224547794055784</v>
      </c>
    </row>
    <row r="2061" spans="27:29">
      <c r="AA2061" s="50">
        <v>474.4</v>
      </c>
      <c r="AB2061" s="51">
        <v>71.909000000000006</v>
      </c>
      <c r="AC2061" s="52">
        <f t="shared" si="564"/>
        <v>0.14321675070575257</v>
      </c>
    </row>
    <row r="2062" spans="27:29">
      <c r="AA2062" s="50">
        <v>474.3</v>
      </c>
      <c r="AB2062" s="51">
        <v>71.861000000000004</v>
      </c>
      <c r="AC2062" s="52">
        <f t="shared" si="564"/>
        <v>0.14350674355413406</v>
      </c>
    </row>
    <row r="2063" spans="27:29">
      <c r="AA2063" s="50">
        <v>474.2</v>
      </c>
      <c r="AB2063" s="51">
        <v>71.736000000000004</v>
      </c>
      <c r="AC2063" s="52">
        <f t="shared" si="564"/>
        <v>0.14426284324911329</v>
      </c>
    </row>
    <row r="2064" spans="27:29">
      <c r="AA2064" s="50">
        <v>474.1</v>
      </c>
      <c r="AB2064" s="51">
        <v>71.680999999999997</v>
      </c>
      <c r="AC2064" s="52">
        <f t="shared" si="564"/>
        <v>0.14459594459240818</v>
      </c>
    </row>
    <row r="2065" spans="27:29">
      <c r="AA2065" s="50">
        <v>474</v>
      </c>
      <c r="AB2065" s="51">
        <v>71.566000000000003</v>
      </c>
      <c r="AC2065" s="52">
        <f t="shared" si="564"/>
        <v>0.14529325589594014</v>
      </c>
    </row>
    <row r="2066" spans="27:29">
      <c r="AA2066" s="50">
        <v>473.9</v>
      </c>
      <c r="AB2066" s="51">
        <v>71.585999999999999</v>
      </c>
      <c r="AC2066" s="52">
        <f t="shared" si="564"/>
        <v>0.14517190391071361</v>
      </c>
    </row>
    <row r="2067" spans="27:29">
      <c r="AA2067" s="50">
        <v>473.8</v>
      </c>
      <c r="AB2067" s="51">
        <v>71.64</v>
      </c>
      <c r="AC2067" s="52">
        <f t="shared" si="564"/>
        <v>0.14484442282300605</v>
      </c>
    </row>
    <row r="2068" spans="27:29">
      <c r="AA2068" s="50">
        <v>473.7</v>
      </c>
      <c r="AB2068" s="51">
        <v>71.656999999999996</v>
      </c>
      <c r="AC2068" s="52">
        <f t="shared" si="564"/>
        <v>0.144741378010805</v>
      </c>
    </row>
    <row r="2069" spans="27:29">
      <c r="AA2069" s="50">
        <v>473.6</v>
      </c>
      <c r="AB2069" s="51">
        <v>71.739999999999995</v>
      </c>
      <c r="AC2069" s="52">
        <f t="shared" si="564"/>
        <v>0.14423862766005224</v>
      </c>
    </row>
    <row r="2070" spans="27:29">
      <c r="AA2070" s="50">
        <v>473.5</v>
      </c>
      <c r="AB2070" s="51">
        <v>71.796999999999997</v>
      </c>
      <c r="AC2070" s="52">
        <f t="shared" si="564"/>
        <v>0.14389370214579827</v>
      </c>
    </row>
    <row r="2071" spans="27:29">
      <c r="AA2071" s="50">
        <v>473.4</v>
      </c>
      <c r="AB2071" s="51">
        <v>71.902000000000001</v>
      </c>
      <c r="AC2071" s="52">
        <f t="shared" si="564"/>
        <v>0.14325902927103232</v>
      </c>
    </row>
    <row r="2072" spans="27:29">
      <c r="AA2072" s="50">
        <v>473.3</v>
      </c>
      <c r="AB2072" s="51">
        <v>72.043000000000006</v>
      </c>
      <c r="AC2072" s="52">
        <f t="shared" si="564"/>
        <v>0.14240821067318543</v>
      </c>
    </row>
    <row r="2073" spans="27:29">
      <c r="AA2073" s="50">
        <v>473.2</v>
      </c>
      <c r="AB2073" s="51">
        <v>72.158000000000001</v>
      </c>
      <c r="AC2073" s="52">
        <f t="shared" si="564"/>
        <v>0.14171551261967644</v>
      </c>
    </row>
    <row r="2074" spans="27:29">
      <c r="AA2074" s="50">
        <v>473.1</v>
      </c>
      <c r="AB2074" s="51">
        <v>72.266999999999996</v>
      </c>
      <c r="AC2074" s="52">
        <f t="shared" si="564"/>
        <v>0.14105997365460327</v>
      </c>
    </row>
    <row r="2075" spans="27:29">
      <c r="AA2075" s="50">
        <v>473</v>
      </c>
      <c r="AB2075" s="51">
        <v>72.376999999999995</v>
      </c>
      <c r="AC2075" s="52">
        <f t="shared" si="564"/>
        <v>0.14039942220111817</v>
      </c>
    </row>
    <row r="2076" spans="27:29">
      <c r="AA2076" s="50">
        <v>472.9</v>
      </c>
      <c r="AB2076" s="51">
        <v>72.495000000000005</v>
      </c>
      <c r="AC2076" s="52">
        <f t="shared" si="564"/>
        <v>0.13969194580543823</v>
      </c>
    </row>
    <row r="2077" spans="27:29">
      <c r="AA2077" s="50">
        <v>472.8</v>
      </c>
      <c r="AB2077" s="51">
        <v>72.587000000000003</v>
      </c>
      <c r="AC2077" s="52">
        <f t="shared" si="564"/>
        <v>0.13914115249282066</v>
      </c>
    </row>
    <row r="2078" spans="27:29">
      <c r="AA2078" s="50">
        <v>472.7</v>
      </c>
      <c r="AB2078" s="51">
        <v>72.679000000000002</v>
      </c>
      <c r="AC2078" s="52">
        <f t="shared" si="564"/>
        <v>0.13859105683826919</v>
      </c>
    </row>
    <row r="2079" spans="27:29">
      <c r="AA2079" s="50">
        <v>472.6</v>
      </c>
      <c r="AB2079" s="51">
        <v>72.843999999999994</v>
      </c>
      <c r="AC2079" s="52">
        <f t="shared" si="564"/>
        <v>0.13760621430173459</v>
      </c>
    </row>
    <row r="2080" spans="27:29">
      <c r="AA2080" s="50">
        <v>472.5</v>
      </c>
      <c r="AB2080" s="51">
        <v>72.965000000000003</v>
      </c>
      <c r="AC2080" s="52">
        <f t="shared" si="564"/>
        <v>0.13688541319380343</v>
      </c>
    </row>
    <row r="2081" spans="27:29">
      <c r="AA2081" s="50">
        <v>472.4</v>
      </c>
      <c r="AB2081" s="51">
        <v>73.132999999999996</v>
      </c>
      <c r="AC2081" s="52">
        <f t="shared" si="564"/>
        <v>0.13588661094984728</v>
      </c>
    </row>
    <row r="2082" spans="27:29">
      <c r="AA2082" s="50">
        <v>472.3</v>
      </c>
      <c r="AB2082" s="51">
        <v>73.260999999999996</v>
      </c>
      <c r="AC2082" s="52">
        <f t="shared" si="564"/>
        <v>0.13512715758632693</v>
      </c>
    </row>
    <row r="2083" spans="27:29">
      <c r="AA2083" s="50">
        <v>472.2</v>
      </c>
      <c r="AB2083" s="51">
        <v>73.361999999999995</v>
      </c>
      <c r="AC2083" s="52">
        <f t="shared" si="564"/>
        <v>0.13452883740995558</v>
      </c>
    </row>
    <row r="2084" spans="27:29">
      <c r="AA2084" s="50">
        <v>472.1</v>
      </c>
      <c r="AB2084" s="51">
        <v>73.540999999999997</v>
      </c>
      <c r="AC2084" s="52">
        <f t="shared" si="564"/>
        <v>0.133470468952754</v>
      </c>
    </row>
    <row r="2085" spans="27:29">
      <c r="AA2085" s="50">
        <v>472</v>
      </c>
      <c r="AB2085" s="51">
        <v>73.686999999999998</v>
      </c>
      <c r="AC2085" s="52">
        <f t="shared" si="564"/>
        <v>0.13260912443754705</v>
      </c>
    </row>
    <row r="2086" spans="27:29">
      <c r="AA2086" s="50">
        <v>471.9</v>
      </c>
      <c r="AB2086" s="51">
        <v>73.778000000000006</v>
      </c>
      <c r="AC2086" s="52">
        <f t="shared" si="564"/>
        <v>0.13207312195736803</v>
      </c>
    </row>
    <row r="2087" spans="27:29">
      <c r="AA2087" s="50">
        <v>471.8</v>
      </c>
      <c r="AB2087" s="51">
        <v>73.878</v>
      </c>
      <c r="AC2087" s="52">
        <f t="shared" si="564"/>
        <v>0.13148487014463828</v>
      </c>
    </row>
    <row r="2088" spans="27:29">
      <c r="AA2088" s="50">
        <v>471.7</v>
      </c>
      <c r="AB2088" s="51">
        <v>73.944999999999993</v>
      </c>
      <c r="AC2088" s="52">
        <f t="shared" si="564"/>
        <v>0.13109118672216627</v>
      </c>
    </row>
    <row r="2089" spans="27:29">
      <c r="AA2089" s="50">
        <v>471.6</v>
      </c>
      <c r="AB2089" s="51">
        <v>74.069000000000003</v>
      </c>
      <c r="AC2089" s="52">
        <f t="shared" si="564"/>
        <v>0.13036351868597212</v>
      </c>
    </row>
    <row r="2090" spans="27:29">
      <c r="AA2090" s="50">
        <v>471.5</v>
      </c>
      <c r="AB2090" s="51">
        <v>74.215000000000003</v>
      </c>
      <c r="AC2090" s="52">
        <f t="shared" si="564"/>
        <v>0.12950830821353454</v>
      </c>
    </row>
    <row r="2091" spans="27:29">
      <c r="AA2091" s="50">
        <v>471.4</v>
      </c>
      <c r="AB2091" s="51">
        <v>74.370999999999995</v>
      </c>
      <c r="AC2091" s="52">
        <f t="shared" si="564"/>
        <v>0.12859637890565712</v>
      </c>
    </row>
    <row r="2092" spans="27:29">
      <c r="AA2092" s="50">
        <v>471.3</v>
      </c>
      <c r="AB2092" s="51">
        <v>74.483000000000004</v>
      </c>
      <c r="AC2092" s="52">
        <f t="shared" si="564"/>
        <v>0.12794283931448477</v>
      </c>
    </row>
    <row r="2093" spans="27:29">
      <c r="AA2093" s="50">
        <v>471.2</v>
      </c>
      <c r="AB2093" s="51">
        <v>74.644999999999996</v>
      </c>
      <c r="AC2093" s="52">
        <f t="shared" si="564"/>
        <v>0.12699927762595575</v>
      </c>
    </row>
    <row r="2094" spans="27:29">
      <c r="AA2094" s="50">
        <v>471.1</v>
      </c>
      <c r="AB2094" s="51">
        <v>74.787999999999997</v>
      </c>
      <c r="AC2094" s="52">
        <f t="shared" si="564"/>
        <v>0.12616808063640794</v>
      </c>
    </row>
    <row r="2095" spans="27:29">
      <c r="AA2095" s="50">
        <v>471</v>
      </c>
      <c r="AB2095" s="51">
        <v>74.992999999999995</v>
      </c>
      <c r="AC2095" s="52">
        <f t="shared" si="564"/>
        <v>0.12497927265165572</v>
      </c>
    </row>
    <row r="2096" spans="27:29">
      <c r="AA2096" s="50">
        <v>470.9</v>
      </c>
      <c r="AB2096" s="51">
        <v>75.182000000000002</v>
      </c>
      <c r="AC2096" s="52">
        <f t="shared" si="564"/>
        <v>0.12388612531799574</v>
      </c>
    </row>
    <row r="2097" spans="27:29">
      <c r="AA2097" s="50">
        <v>470.8</v>
      </c>
      <c r="AB2097" s="51">
        <v>75.307000000000002</v>
      </c>
      <c r="AC2097" s="52">
        <f t="shared" si="564"/>
        <v>0.12316465301473413</v>
      </c>
    </row>
    <row r="2098" spans="27:29">
      <c r="AA2098" s="50">
        <v>470.7</v>
      </c>
      <c r="AB2098" s="51">
        <v>75.492999999999995</v>
      </c>
      <c r="AC2098" s="52">
        <f t="shared" si="564"/>
        <v>0.12209331595110358</v>
      </c>
    </row>
    <row r="2099" spans="27:29">
      <c r="AA2099" s="50">
        <v>470.6</v>
      </c>
      <c r="AB2099" s="51">
        <v>75.653000000000006</v>
      </c>
      <c r="AC2099" s="52">
        <f t="shared" si="564"/>
        <v>0.12117384546481803</v>
      </c>
    </row>
    <row r="2100" spans="27:29">
      <c r="AA2100" s="50">
        <v>470.5</v>
      </c>
      <c r="AB2100" s="51">
        <v>75.826999999999998</v>
      </c>
      <c r="AC2100" s="52">
        <f t="shared" si="564"/>
        <v>0.1201761259891574</v>
      </c>
    </row>
    <row r="2101" spans="27:29">
      <c r="AA2101" s="50">
        <v>470.4</v>
      </c>
      <c r="AB2101" s="51">
        <v>75.878</v>
      </c>
      <c r="AC2101" s="52">
        <f t="shared" si="564"/>
        <v>0.11988412481040303</v>
      </c>
    </row>
    <row r="2102" spans="27:29">
      <c r="AA2102" s="50">
        <v>470.3</v>
      </c>
      <c r="AB2102" s="51">
        <v>75.945999999999998</v>
      </c>
      <c r="AC2102" s="52">
        <f t="shared" si="564"/>
        <v>0.11949509505563227</v>
      </c>
    </row>
    <row r="2103" spans="27:29">
      <c r="AA2103" s="50">
        <v>470.2</v>
      </c>
      <c r="AB2103" s="51">
        <v>76.052999999999997</v>
      </c>
      <c r="AC2103" s="52">
        <f t="shared" si="564"/>
        <v>0.11888365001665689</v>
      </c>
    </row>
    <row r="2104" spans="27:29">
      <c r="AA2104" s="50">
        <v>470.1</v>
      </c>
      <c r="AB2104" s="51">
        <v>76.168999999999997</v>
      </c>
      <c r="AC2104" s="52">
        <f t="shared" si="564"/>
        <v>0.11822174609143551</v>
      </c>
    </row>
    <row r="2105" spans="27:29">
      <c r="AA2105" s="50">
        <v>470</v>
      </c>
      <c r="AB2105" s="51">
        <v>76.281000000000006</v>
      </c>
      <c r="AC2105" s="52">
        <f t="shared" si="564"/>
        <v>0.11758362223805061</v>
      </c>
    </row>
    <row r="2106" spans="27:29">
      <c r="AA2106" s="50">
        <v>469.9</v>
      </c>
      <c r="AB2106" s="51">
        <v>76.272999999999996</v>
      </c>
      <c r="AC2106" s="52">
        <f t="shared" si="564"/>
        <v>0.1176291714318891</v>
      </c>
    </row>
    <row r="2107" spans="27:29">
      <c r="AA2107" s="50">
        <v>469.8</v>
      </c>
      <c r="AB2107" s="51">
        <v>76.278999999999996</v>
      </c>
      <c r="AC2107" s="52">
        <f t="shared" si="564"/>
        <v>0.11759500908865184</v>
      </c>
    </row>
    <row r="2108" spans="27:29">
      <c r="AA2108" s="50">
        <v>469.7</v>
      </c>
      <c r="AB2108" s="51">
        <v>76.179000000000002</v>
      </c>
      <c r="AC2108" s="52">
        <f t="shared" si="564"/>
        <v>0.11816473261143881</v>
      </c>
    </row>
    <row r="2109" spans="27:29">
      <c r="AA2109" s="50">
        <v>469.6</v>
      </c>
      <c r="AB2109" s="51">
        <v>76.147999999999996</v>
      </c>
      <c r="AC2109" s="52">
        <f t="shared" si="564"/>
        <v>0.11834149876746979</v>
      </c>
    </row>
    <row r="2110" spans="27:29">
      <c r="AA2110" s="50">
        <v>469.5</v>
      </c>
      <c r="AB2110" s="51">
        <v>76.091999999999999</v>
      </c>
      <c r="AC2110" s="52">
        <f t="shared" si="564"/>
        <v>0.11866100076541361</v>
      </c>
    </row>
    <row r="2111" spans="27:29">
      <c r="AA2111" s="50">
        <v>469.4</v>
      </c>
      <c r="AB2111" s="51">
        <v>75.915000000000006</v>
      </c>
      <c r="AC2111" s="52">
        <f t="shared" si="564"/>
        <v>0.11967240363553104</v>
      </c>
    </row>
    <row r="2112" spans="27:29">
      <c r="AA2112" s="50">
        <v>469.3</v>
      </c>
      <c r="AB2112" s="51">
        <v>75.715000000000003</v>
      </c>
      <c r="AC2112" s="52">
        <f t="shared" si="564"/>
        <v>0.12081807331503989</v>
      </c>
    </row>
    <row r="2113" spans="27:29">
      <c r="AA2113" s="50">
        <v>469.2</v>
      </c>
      <c r="AB2113" s="51">
        <v>75.468999999999994</v>
      </c>
      <c r="AC2113" s="52">
        <f t="shared" si="564"/>
        <v>0.12223140457808908</v>
      </c>
    </row>
    <row r="2114" spans="27:29">
      <c r="AA2114" s="50">
        <v>469.1</v>
      </c>
      <c r="AB2114" s="51">
        <v>75.248000000000005</v>
      </c>
      <c r="AC2114" s="52">
        <f t="shared" si="564"/>
        <v>0.12350503859799571</v>
      </c>
    </row>
    <row r="2115" spans="27:29">
      <c r="AA2115" s="50">
        <v>469</v>
      </c>
      <c r="AB2115" s="51">
        <v>74.957999999999998</v>
      </c>
      <c r="AC2115" s="52">
        <f t="shared" si="564"/>
        <v>0.12518200964097423</v>
      </c>
    </row>
    <row r="2116" spans="27:29">
      <c r="AA2116" s="50">
        <v>468.9</v>
      </c>
      <c r="AB2116" s="51">
        <v>74.671000000000006</v>
      </c>
      <c r="AC2116" s="52">
        <f t="shared" si="564"/>
        <v>0.12684803252638688</v>
      </c>
    </row>
    <row r="2117" spans="27:29">
      <c r="AA2117" s="50">
        <v>468.8</v>
      </c>
      <c r="AB2117" s="51">
        <v>74.275000000000006</v>
      </c>
      <c r="AC2117" s="52">
        <f t="shared" si="564"/>
        <v>0.12915733952429834</v>
      </c>
    </row>
    <row r="2118" spans="27:29">
      <c r="AA2118" s="50">
        <v>468.7</v>
      </c>
      <c r="AB2118" s="51">
        <v>73.897000000000006</v>
      </c>
      <c r="AC2118" s="52">
        <f t="shared" si="564"/>
        <v>0.1313731923208977</v>
      </c>
    </row>
    <row r="2119" spans="27:29">
      <c r="AA2119" s="50">
        <v>468.6</v>
      </c>
      <c r="AB2119" s="51">
        <v>73.453000000000003</v>
      </c>
      <c r="AC2119" s="52">
        <f t="shared" si="564"/>
        <v>0.13399046186366512</v>
      </c>
    </row>
    <row r="2120" spans="27:29">
      <c r="AA2120" s="50">
        <v>468.5</v>
      </c>
      <c r="AB2120" s="51">
        <v>73.003</v>
      </c>
      <c r="AC2120" s="52">
        <f t="shared" si="564"/>
        <v>0.13665929252783363</v>
      </c>
    </row>
    <row r="2121" spans="27:29">
      <c r="AA2121" s="50">
        <v>468.4</v>
      </c>
      <c r="AB2121" s="51">
        <v>72.588999999999999</v>
      </c>
      <c r="AC2121" s="52">
        <f t="shared" si="564"/>
        <v>0.13912918647965233</v>
      </c>
    </row>
    <row r="2122" spans="27:29">
      <c r="AA2122" s="50">
        <v>468.3</v>
      </c>
      <c r="AB2122" s="51">
        <v>72.09</v>
      </c>
      <c r="AC2122" s="52">
        <f t="shared" ref="AC2122:AC2185" si="565">-LOG(AB2122/100)</f>
        <v>0.14212497447643749</v>
      </c>
    </row>
    <row r="2123" spans="27:29">
      <c r="AA2123" s="50">
        <v>468.2</v>
      </c>
      <c r="AB2123" s="51">
        <v>71.680000000000007</v>
      </c>
      <c r="AC2123" s="52">
        <f t="shared" si="565"/>
        <v>0.14460200334593115</v>
      </c>
    </row>
    <row r="2124" spans="27:29">
      <c r="AA2124" s="50">
        <v>468.1</v>
      </c>
      <c r="AB2124" s="51">
        <v>71.174000000000007</v>
      </c>
      <c r="AC2124" s="52">
        <f t="shared" si="565"/>
        <v>0.14767862600795245</v>
      </c>
    </row>
    <row r="2125" spans="27:29">
      <c r="AA2125" s="50">
        <v>468</v>
      </c>
      <c r="AB2125" s="51">
        <v>70.655000000000001</v>
      </c>
      <c r="AC2125" s="52">
        <f t="shared" si="565"/>
        <v>0.15085709927084989</v>
      </c>
    </row>
    <row r="2126" spans="27:29">
      <c r="AA2126" s="50">
        <v>467.9</v>
      </c>
      <c r="AB2126" s="51">
        <v>70.114999999999995</v>
      </c>
      <c r="AC2126" s="52">
        <f t="shared" si="565"/>
        <v>0.15418906162891388</v>
      </c>
    </row>
    <row r="2127" spans="27:29">
      <c r="AA2127" s="50">
        <v>467.8</v>
      </c>
      <c r="AB2127" s="51">
        <v>69.602999999999994</v>
      </c>
      <c r="AC2127" s="52">
        <f t="shared" si="565"/>
        <v>0.15737204120312856</v>
      </c>
    </row>
    <row r="2128" spans="27:29">
      <c r="AA2128" s="50">
        <v>467.7</v>
      </c>
      <c r="AB2128" s="51">
        <v>69.085999999999999</v>
      </c>
      <c r="AC2128" s="52">
        <f t="shared" si="565"/>
        <v>0.16060995173956777</v>
      </c>
    </row>
    <row r="2129" spans="27:29">
      <c r="AA2129" s="50">
        <v>467.6</v>
      </c>
      <c r="AB2129" s="51">
        <v>68.552999999999997</v>
      </c>
      <c r="AC2129" s="52">
        <f t="shared" si="565"/>
        <v>0.16397353496729047</v>
      </c>
    </row>
    <row r="2130" spans="27:29">
      <c r="AA2130" s="50">
        <v>467.5</v>
      </c>
      <c r="AB2130" s="51">
        <v>67.998999999999995</v>
      </c>
      <c r="AC2130" s="52">
        <f t="shared" si="565"/>
        <v>0.16749747402428247</v>
      </c>
    </row>
    <row r="2131" spans="27:29">
      <c r="AA2131" s="50">
        <v>467.4</v>
      </c>
      <c r="AB2131" s="51">
        <v>67.492999999999995</v>
      </c>
      <c r="AC2131" s="52">
        <f t="shared" si="565"/>
        <v>0.17074126745070897</v>
      </c>
    </row>
    <row r="2132" spans="27:29">
      <c r="AA2132" s="50">
        <v>467.3</v>
      </c>
      <c r="AB2132" s="51">
        <v>67.001999999999995</v>
      </c>
      <c r="AC2132" s="52">
        <f t="shared" si="565"/>
        <v>0.17391223347827733</v>
      </c>
    </row>
    <row r="2133" spans="27:29">
      <c r="AA2133" s="50">
        <v>467.2</v>
      </c>
      <c r="AB2133" s="51">
        <v>66.518000000000001</v>
      </c>
      <c r="AC2133" s="52">
        <f t="shared" si="565"/>
        <v>0.17706081720990907</v>
      </c>
    </row>
    <row r="2134" spans="27:29">
      <c r="AA2134" s="50">
        <v>467.1</v>
      </c>
      <c r="AB2134" s="51">
        <v>66.024000000000001</v>
      </c>
      <c r="AC2134" s="52">
        <f t="shared" si="565"/>
        <v>0.18029816789871042</v>
      </c>
    </row>
    <row r="2135" spans="27:29">
      <c r="AA2135" s="50">
        <v>467</v>
      </c>
      <c r="AB2135" s="51">
        <v>65.515000000000001</v>
      </c>
      <c r="AC2135" s="52">
        <f t="shared" si="565"/>
        <v>0.18365925464307534</v>
      </c>
    </row>
    <row r="2136" spans="27:29">
      <c r="AA2136" s="50">
        <v>466.9</v>
      </c>
      <c r="AB2136" s="51">
        <v>65.046999999999997</v>
      </c>
      <c r="AC2136" s="52">
        <f t="shared" si="565"/>
        <v>0.18677272851807619</v>
      </c>
    </row>
    <row r="2137" spans="27:29">
      <c r="AA2137" s="50">
        <v>466.8</v>
      </c>
      <c r="AB2137" s="51">
        <v>64.588999999999999</v>
      </c>
      <c r="AC2137" s="52">
        <f t="shared" si="565"/>
        <v>0.18984143937454465</v>
      </c>
    </row>
    <row r="2138" spans="27:29">
      <c r="AA2138" s="50">
        <v>466.7</v>
      </c>
      <c r="AB2138" s="51">
        <v>64.103999999999999</v>
      </c>
      <c r="AC2138" s="52">
        <f t="shared" si="565"/>
        <v>0.19311487026702118</v>
      </c>
    </row>
    <row r="2139" spans="27:29">
      <c r="AA2139" s="50">
        <v>466.6</v>
      </c>
      <c r="AB2139" s="51">
        <v>63.62</v>
      </c>
      <c r="AC2139" s="52">
        <f t="shared" si="565"/>
        <v>0.19640633522865547</v>
      </c>
    </row>
    <row r="2140" spans="27:29">
      <c r="AA2140" s="50">
        <v>466.5</v>
      </c>
      <c r="AB2140" s="51">
        <v>63.064999999999998</v>
      </c>
      <c r="AC2140" s="52">
        <f t="shared" si="565"/>
        <v>0.20021159993244475</v>
      </c>
    </row>
    <row r="2141" spans="27:29">
      <c r="AA2141" s="50">
        <v>466.4</v>
      </c>
      <c r="AB2141" s="51">
        <v>62.598999999999997</v>
      </c>
      <c r="AC2141" s="52">
        <f t="shared" si="565"/>
        <v>0.20343260445651518</v>
      </c>
    </row>
    <row r="2142" spans="27:29">
      <c r="AA2142" s="50">
        <v>466.3</v>
      </c>
      <c r="AB2142" s="51">
        <v>62.079000000000001</v>
      </c>
      <c r="AC2142" s="52">
        <f t="shared" si="565"/>
        <v>0.20705528752918184</v>
      </c>
    </row>
    <row r="2143" spans="27:29">
      <c r="AA2143" s="50">
        <v>466.2</v>
      </c>
      <c r="AB2143" s="51">
        <v>61.494999999999997</v>
      </c>
      <c r="AC2143" s="52">
        <f t="shared" si="565"/>
        <v>0.21116019415442941</v>
      </c>
    </row>
    <row r="2144" spans="27:29">
      <c r="AA2144" s="50">
        <v>466.1</v>
      </c>
      <c r="AB2144" s="51">
        <v>60.892000000000003</v>
      </c>
      <c r="AC2144" s="52">
        <f t="shared" si="565"/>
        <v>0.21543976129283771</v>
      </c>
    </row>
    <row r="2145" spans="27:29">
      <c r="AA2145" s="50">
        <v>466</v>
      </c>
      <c r="AB2145" s="51">
        <v>60.218000000000004</v>
      </c>
      <c r="AC2145" s="52">
        <f t="shared" si="565"/>
        <v>0.22027367265899048</v>
      </c>
    </row>
    <row r="2146" spans="27:29">
      <c r="AA2146" s="50">
        <v>465.9</v>
      </c>
      <c r="AB2146" s="51">
        <v>59.537999999999997</v>
      </c>
      <c r="AC2146" s="52">
        <f t="shared" si="565"/>
        <v>0.22520575826088388</v>
      </c>
    </row>
    <row r="2147" spans="27:29">
      <c r="AA2147" s="50">
        <v>465.8</v>
      </c>
      <c r="AB2147" s="51">
        <v>58.718000000000004</v>
      </c>
      <c r="AC2147" s="52">
        <f t="shared" si="565"/>
        <v>0.23122874539028607</v>
      </c>
    </row>
    <row r="2148" spans="27:29">
      <c r="AA2148" s="50">
        <v>465.7</v>
      </c>
      <c r="AB2148" s="51">
        <v>57.802999999999997</v>
      </c>
      <c r="AC2148" s="52">
        <f t="shared" si="565"/>
        <v>0.238049620928346</v>
      </c>
    </row>
    <row r="2149" spans="27:29">
      <c r="AA2149" s="50">
        <v>465.6</v>
      </c>
      <c r="AB2149" s="51">
        <v>56.765999999999998</v>
      </c>
      <c r="AC2149" s="52">
        <f t="shared" si="565"/>
        <v>0.24591170713324578</v>
      </c>
    </row>
    <row r="2150" spans="27:29">
      <c r="AA2150" s="50">
        <v>465.5</v>
      </c>
      <c r="AB2150" s="51">
        <v>55.667000000000002</v>
      </c>
      <c r="AC2150" s="52">
        <f t="shared" si="565"/>
        <v>0.25440218301410533</v>
      </c>
    </row>
    <row r="2151" spans="27:29">
      <c r="AA2151" s="50">
        <v>465.4</v>
      </c>
      <c r="AB2151" s="51">
        <v>54.412999999999997</v>
      </c>
      <c r="AC2151" s="52">
        <f t="shared" si="565"/>
        <v>0.26429732909265202</v>
      </c>
    </row>
    <row r="2152" spans="27:29">
      <c r="AA2152" s="50">
        <v>465.3</v>
      </c>
      <c r="AB2152" s="51">
        <v>53.088000000000001</v>
      </c>
      <c r="AC2152" s="52">
        <f t="shared" si="565"/>
        <v>0.27500363565573333</v>
      </c>
    </row>
    <row r="2153" spans="27:29">
      <c r="AA2153" s="50">
        <v>465.2</v>
      </c>
      <c r="AB2153" s="51">
        <v>51.595999999999997</v>
      </c>
      <c r="AC2153" s="52">
        <f t="shared" si="565"/>
        <v>0.28738396591665633</v>
      </c>
    </row>
    <row r="2154" spans="27:29">
      <c r="AA2154" s="50">
        <v>465.1</v>
      </c>
      <c r="AB2154" s="51">
        <v>50.143000000000001</v>
      </c>
      <c r="AC2154" s="52">
        <f t="shared" si="565"/>
        <v>0.299789686243979</v>
      </c>
    </row>
    <row r="2155" spans="27:29">
      <c r="AA2155" s="50">
        <v>465</v>
      </c>
      <c r="AB2155" s="51">
        <v>48.576000000000001</v>
      </c>
      <c r="AC2155" s="52">
        <f t="shared" si="565"/>
        <v>0.31357825012063245</v>
      </c>
    </row>
    <row r="2156" spans="27:29">
      <c r="AA2156" s="50">
        <v>464.9</v>
      </c>
      <c r="AB2156" s="51">
        <v>46.95</v>
      </c>
      <c r="AC2156" s="52">
        <f t="shared" si="565"/>
        <v>0.32836440339787026</v>
      </c>
    </row>
    <row r="2157" spans="27:29">
      <c r="AA2157" s="50">
        <v>464.8</v>
      </c>
      <c r="AB2157" s="51">
        <v>45.228000000000002</v>
      </c>
      <c r="AC2157" s="52">
        <f t="shared" si="565"/>
        <v>0.34459261650277018</v>
      </c>
    </row>
    <row r="2158" spans="27:29">
      <c r="AA2158" s="50">
        <v>464.7</v>
      </c>
      <c r="AB2158" s="51">
        <v>43.453000000000003</v>
      </c>
      <c r="AC2158" s="52">
        <f t="shared" si="565"/>
        <v>0.36198023444042254</v>
      </c>
    </row>
    <row r="2159" spans="27:29">
      <c r="AA2159" s="50">
        <v>464.6</v>
      </c>
      <c r="AB2159" s="51">
        <v>41.77</v>
      </c>
      <c r="AC2159" s="52">
        <f t="shared" si="565"/>
        <v>0.37913552473487888</v>
      </c>
    </row>
    <row r="2160" spans="27:29">
      <c r="AA2160" s="50">
        <v>464.5</v>
      </c>
      <c r="AB2160" s="51">
        <v>40.017000000000003</v>
      </c>
      <c r="AC2160" s="52">
        <f t="shared" si="565"/>
        <v>0.39775547272833967</v>
      </c>
    </row>
    <row r="2161" spans="27:29">
      <c r="AA2161" s="50">
        <v>464.4</v>
      </c>
      <c r="AB2161" s="51">
        <v>38.261000000000003</v>
      </c>
      <c r="AC2161" s="52">
        <f t="shared" si="565"/>
        <v>0.41724368332057776</v>
      </c>
    </row>
    <row r="2162" spans="27:29">
      <c r="AA2162" s="50">
        <v>464.3</v>
      </c>
      <c r="AB2162" s="51">
        <v>36.518999999999998</v>
      </c>
      <c r="AC2162" s="52">
        <f t="shared" si="565"/>
        <v>0.4374811232633683</v>
      </c>
    </row>
    <row r="2163" spans="27:29">
      <c r="AA2163" s="50">
        <v>464.2</v>
      </c>
      <c r="AB2163" s="51">
        <v>34.755000000000003</v>
      </c>
      <c r="AC2163" s="52">
        <f t="shared" si="565"/>
        <v>0.45898270715434314</v>
      </c>
    </row>
    <row r="2164" spans="27:29">
      <c r="AA2164" s="50">
        <v>464.1</v>
      </c>
      <c r="AB2164" s="51">
        <v>33.148000000000003</v>
      </c>
      <c r="AC2164" s="52">
        <f t="shared" si="565"/>
        <v>0.47954266982833738</v>
      </c>
    </row>
    <row r="2165" spans="27:29">
      <c r="AA2165" s="50">
        <v>464</v>
      </c>
      <c r="AB2165" s="51">
        <v>31.471</v>
      </c>
      <c r="AC2165" s="52">
        <f t="shared" si="565"/>
        <v>0.50208945703651231</v>
      </c>
    </row>
    <row r="2166" spans="27:29">
      <c r="AA2166" s="50">
        <v>463.9</v>
      </c>
      <c r="AB2166" s="51">
        <v>29.934000000000001</v>
      </c>
      <c r="AC2166" s="52">
        <f t="shared" si="565"/>
        <v>0.52383524567717465</v>
      </c>
    </row>
    <row r="2167" spans="27:29">
      <c r="AA2167" s="50">
        <v>463.8</v>
      </c>
      <c r="AB2167" s="51">
        <v>28.414999999999999</v>
      </c>
      <c r="AC2167" s="52">
        <f t="shared" si="565"/>
        <v>0.54645233961925088</v>
      </c>
    </row>
    <row r="2168" spans="27:29">
      <c r="AA2168" s="50">
        <v>463.7</v>
      </c>
      <c r="AB2168" s="51">
        <v>27.084</v>
      </c>
      <c r="AC2168" s="52">
        <f t="shared" si="565"/>
        <v>0.56728719487461321</v>
      </c>
    </row>
    <row r="2169" spans="27:29">
      <c r="AA2169" s="50">
        <v>463.6</v>
      </c>
      <c r="AB2169" s="51">
        <v>25.821999999999999</v>
      </c>
      <c r="AC2169" s="52">
        <f t="shared" si="565"/>
        <v>0.58801012321114066</v>
      </c>
    </row>
    <row r="2170" spans="27:29">
      <c r="AA2170" s="50">
        <v>463.5</v>
      </c>
      <c r="AB2170" s="51">
        <v>24.556999999999999</v>
      </c>
      <c r="AC2170" s="52">
        <f t="shared" si="565"/>
        <v>0.60982468977132964</v>
      </c>
    </row>
    <row r="2171" spans="27:29">
      <c r="AA2171" s="50">
        <v>463.4</v>
      </c>
      <c r="AB2171" s="51">
        <v>23.353000000000002</v>
      </c>
      <c r="AC2171" s="52">
        <f t="shared" si="565"/>
        <v>0.63165732067577618</v>
      </c>
    </row>
    <row r="2172" spans="27:29">
      <c r="AA2172" s="50">
        <v>463.3</v>
      </c>
      <c r="AB2172" s="51">
        <v>22.306999999999999</v>
      </c>
      <c r="AC2172" s="52">
        <f t="shared" si="565"/>
        <v>0.65155883272163884</v>
      </c>
    </row>
    <row r="2173" spans="27:29">
      <c r="AA2173" s="50">
        <v>463.2</v>
      </c>
      <c r="AB2173" s="51">
        <v>21.35</v>
      </c>
      <c r="AC2173" s="52">
        <f t="shared" si="565"/>
        <v>0.6706021206389573</v>
      </c>
    </row>
    <row r="2174" spans="27:29">
      <c r="AA2174" s="50">
        <v>463.1</v>
      </c>
      <c r="AB2174" s="51">
        <v>20.452999999999999</v>
      </c>
      <c r="AC2174" s="52">
        <f t="shared" si="565"/>
        <v>0.68924298164739584</v>
      </c>
    </row>
    <row r="2175" spans="27:29">
      <c r="AA2175" s="50">
        <v>463</v>
      </c>
      <c r="AB2175" s="51">
        <v>19.622</v>
      </c>
      <c r="AC2175" s="52">
        <f t="shared" si="565"/>
        <v>0.70725672862292932</v>
      </c>
    </row>
    <row r="2176" spans="27:29">
      <c r="AA2176" s="50">
        <v>462.9</v>
      </c>
      <c r="AB2176" s="51">
        <v>18.853999999999999</v>
      </c>
      <c r="AC2176" s="52">
        <f t="shared" si="565"/>
        <v>0.72459649725459563</v>
      </c>
    </row>
    <row r="2177" spans="27:29">
      <c r="AA2177" s="50">
        <v>462.8</v>
      </c>
      <c r="AB2177" s="51">
        <v>18.161999999999999</v>
      </c>
      <c r="AC2177" s="52">
        <f t="shared" si="565"/>
        <v>0.74083632865978344</v>
      </c>
    </row>
    <row r="2178" spans="27:29">
      <c r="AA2178" s="50">
        <v>462.7</v>
      </c>
      <c r="AB2178" s="51">
        <v>17.507000000000001</v>
      </c>
      <c r="AC2178" s="52">
        <f t="shared" si="565"/>
        <v>0.75678826825524059</v>
      </c>
    </row>
    <row r="2179" spans="27:29">
      <c r="AA2179" s="50">
        <v>462.6</v>
      </c>
      <c r="AB2179" s="51">
        <v>16.888000000000002</v>
      </c>
      <c r="AC2179" s="52">
        <f t="shared" si="565"/>
        <v>0.77242177970039994</v>
      </c>
    </row>
    <row r="2180" spans="27:29">
      <c r="AA2180" s="50">
        <v>462.5</v>
      </c>
      <c r="AB2180" s="51">
        <v>16.297000000000001</v>
      </c>
      <c r="AC2180" s="52">
        <f t="shared" si="565"/>
        <v>0.78789233445234108</v>
      </c>
    </row>
    <row r="2181" spans="27:29">
      <c r="AA2181" s="50">
        <v>462.4</v>
      </c>
      <c r="AB2181" s="51">
        <v>15.769</v>
      </c>
      <c r="AC2181" s="52">
        <f t="shared" si="565"/>
        <v>0.80219584682659029</v>
      </c>
    </row>
    <row r="2182" spans="27:29">
      <c r="AA2182" s="50">
        <v>462.3</v>
      </c>
      <c r="AB2182" s="51">
        <v>15.238</v>
      </c>
      <c r="AC2182" s="52">
        <f t="shared" si="565"/>
        <v>0.81707203076300761</v>
      </c>
    </row>
    <row r="2183" spans="27:29">
      <c r="AA2183" s="50">
        <v>462.2</v>
      </c>
      <c r="AB2183" s="51">
        <v>14.702999999999999</v>
      </c>
      <c r="AC2183" s="52">
        <f t="shared" si="565"/>
        <v>0.83259404276770799</v>
      </c>
    </row>
    <row r="2184" spans="27:29">
      <c r="AA2184" s="50">
        <v>462.1</v>
      </c>
      <c r="AB2184" s="51">
        <v>14.138999999999999</v>
      </c>
      <c r="AC2184" s="52">
        <f t="shared" si="565"/>
        <v>0.84958130552070188</v>
      </c>
    </row>
    <row r="2185" spans="27:29">
      <c r="AA2185" s="50">
        <v>462</v>
      </c>
      <c r="AB2185" s="51">
        <v>13.586</v>
      </c>
      <c r="AC2185" s="52">
        <f t="shared" si="565"/>
        <v>0.86690838974529183</v>
      </c>
    </row>
    <row r="2186" spans="27:29">
      <c r="AA2186" s="50">
        <v>461.9</v>
      </c>
      <c r="AB2186" s="51">
        <v>13.022</v>
      </c>
      <c r="AC2186" s="52">
        <f t="shared" ref="AC2186:AC2249" si="566">-LOG(AB2186/100)</f>
        <v>0.88532230898912212</v>
      </c>
    </row>
    <row r="2187" spans="27:29">
      <c r="AA2187" s="50">
        <v>461.8</v>
      </c>
      <c r="AB2187" s="51">
        <v>12.449</v>
      </c>
      <c r="AC2187" s="52">
        <f t="shared" si="566"/>
        <v>0.90486553306016315</v>
      </c>
    </row>
    <row r="2188" spans="27:29">
      <c r="AA2188" s="50">
        <v>461.7</v>
      </c>
      <c r="AB2188" s="51">
        <v>11.864000000000001</v>
      </c>
      <c r="AC2188" s="52">
        <f t="shared" si="566"/>
        <v>0.92576886197967434</v>
      </c>
    </row>
    <row r="2189" spans="27:29">
      <c r="AA2189" s="50">
        <v>461.6</v>
      </c>
      <c r="AB2189" s="51">
        <v>11.243</v>
      </c>
      <c r="AC2189" s="52">
        <f t="shared" si="566"/>
        <v>0.94911778933597057</v>
      </c>
    </row>
    <row r="2190" spans="27:29">
      <c r="AA2190" s="50">
        <v>461.5</v>
      </c>
      <c r="AB2190" s="51">
        <v>10.616</v>
      </c>
      <c r="AC2190" s="52">
        <f t="shared" si="566"/>
        <v>0.97403909014362089</v>
      </c>
    </row>
    <row r="2191" spans="27:29">
      <c r="AA2191" s="50">
        <v>461.4</v>
      </c>
      <c r="AB2191" s="51">
        <v>9.9939999999999998</v>
      </c>
      <c r="AC2191" s="52">
        <f t="shared" si="566"/>
        <v>1.0002606548934321</v>
      </c>
    </row>
    <row r="2192" spans="27:29">
      <c r="AA2192" s="50">
        <v>461.3</v>
      </c>
      <c r="AB2192" s="51">
        <v>9.3787000000000003</v>
      </c>
      <c r="AC2192" s="52">
        <f t="shared" si="566"/>
        <v>1.0278573558590627</v>
      </c>
    </row>
    <row r="2193" spans="27:29">
      <c r="AA2193" s="50">
        <v>461.2</v>
      </c>
      <c r="AB2193" s="51">
        <v>8.7713000000000001</v>
      </c>
      <c r="AC2193" s="52">
        <f t="shared" si="566"/>
        <v>1.0569360347997729</v>
      </c>
    </row>
    <row r="2194" spans="27:29">
      <c r="AA2194" s="50">
        <v>461.1</v>
      </c>
      <c r="AB2194" s="51">
        <v>8.1963000000000008</v>
      </c>
      <c r="AC2194" s="52">
        <f t="shared" si="566"/>
        <v>1.086382153984832</v>
      </c>
    </row>
    <row r="2195" spans="27:29">
      <c r="AA2195" s="50">
        <v>461</v>
      </c>
      <c r="AB2195" s="51">
        <v>7.6722000000000001</v>
      </c>
      <c r="AC2195" s="52">
        <f t="shared" si="566"/>
        <v>1.1150800844395505</v>
      </c>
    </row>
    <row r="2196" spans="27:29">
      <c r="AA2196" s="50">
        <v>460.9</v>
      </c>
      <c r="AB2196" s="51">
        <v>7.1829000000000001</v>
      </c>
      <c r="AC2196" s="52">
        <f t="shared" si="566"/>
        <v>1.1437001797522086</v>
      </c>
    </row>
    <row r="2197" spans="27:29">
      <c r="AA2197" s="50">
        <v>460.8</v>
      </c>
      <c r="AB2197" s="51">
        <v>6.7389999999999999</v>
      </c>
      <c r="AC2197" s="52">
        <f t="shared" si="566"/>
        <v>1.1714045436282976</v>
      </c>
    </row>
    <row r="2198" spans="27:29">
      <c r="AA2198" s="50">
        <v>460.7</v>
      </c>
      <c r="AB2198" s="51">
        <v>6.3391999999999999</v>
      </c>
      <c r="AC2198" s="52">
        <f t="shared" si="566"/>
        <v>1.1979655461415468</v>
      </c>
    </row>
    <row r="2199" spans="27:29">
      <c r="AA2199" s="50">
        <v>460.6</v>
      </c>
      <c r="AB2199" s="51">
        <v>6.0034000000000001</v>
      </c>
      <c r="AC2199" s="52">
        <f t="shared" si="566"/>
        <v>1.2216027191120056</v>
      </c>
    </row>
    <row r="2200" spans="27:29">
      <c r="AA2200" s="50">
        <v>460.5</v>
      </c>
      <c r="AB2200" s="51">
        <v>5.7489999999999997</v>
      </c>
      <c r="AC2200" s="52">
        <f t="shared" si="566"/>
        <v>1.2404076913540252</v>
      </c>
    </row>
    <row r="2201" spans="27:29">
      <c r="AA2201" s="50">
        <v>460.4</v>
      </c>
      <c r="AB2201" s="51">
        <v>5.5364000000000004</v>
      </c>
      <c r="AC2201" s="52">
        <f t="shared" si="566"/>
        <v>1.2567725400258052</v>
      </c>
    </row>
    <row r="2202" spans="27:29">
      <c r="AA2202" s="50">
        <v>460.3</v>
      </c>
      <c r="AB2202" s="51">
        <v>5.3903999999999996</v>
      </c>
      <c r="AC2202" s="52">
        <f t="shared" si="566"/>
        <v>1.268379006362955</v>
      </c>
    </row>
    <row r="2203" spans="27:29">
      <c r="AA2203" s="50">
        <v>460.2</v>
      </c>
      <c r="AB2203" s="51">
        <v>5.2885</v>
      </c>
      <c r="AC2203" s="52">
        <f t="shared" si="566"/>
        <v>1.276667491310699</v>
      </c>
    </row>
    <row r="2204" spans="27:29">
      <c r="AA2204" s="50">
        <v>460.1</v>
      </c>
      <c r="AB2204" s="51">
        <v>5.2488999999999999</v>
      </c>
      <c r="AC2204" s="52">
        <f t="shared" si="566"/>
        <v>1.2799317011624916</v>
      </c>
    </row>
    <row r="2205" spans="27:29">
      <c r="AA2205" s="50">
        <v>460</v>
      </c>
      <c r="AB2205" s="51">
        <v>5.2609000000000004</v>
      </c>
      <c r="AC2205" s="52">
        <f t="shared" si="566"/>
        <v>1.2789399532609942</v>
      </c>
    </row>
    <row r="2206" spans="27:29">
      <c r="AA2206" s="50">
        <v>459.9</v>
      </c>
      <c r="AB2206" s="51">
        <v>5.3308999999999997</v>
      </c>
      <c r="AC2206" s="52">
        <f t="shared" si="566"/>
        <v>1.2731994641371116</v>
      </c>
    </row>
    <row r="2207" spans="27:29">
      <c r="AA2207" s="50">
        <v>459.8</v>
      </c>
      <c r="AB2207" s="51">
        <v>5.4530000000000003</v>
      </c>
      <c r="AC2207" s="52">
        <f t="shared" si="566"/>
        <v>1.2633645023131788</v>
      </c>
    </row>
    <row r="2208" spans="27:29">
      <c r="AA2208" s="50">
        <v>459.7</v>
      </c>
      <c r="AB2208" s="51">
        <v>5.6177000000000001</v>
      </c>
      <c r="AC2208" s="52">
        <f t="shared" si="566"/>
        <v>1.2504414569862348</v>
      </c>
    </row>
    <row r="2209" spans="27:29">
      <c r="AA2209" s="50">
        <v>459.6</v>
      </c>
      <c r="AB2209" s="51">
        <v>5.8398000000000003</v>
      </c>
      <c r="AC2209" s="52">
        <f t="shared" si="566"/>
        <v>1.2336020262409779</v>
      </c>
    </row>
    <row r="2210" spans="27:29">
      <c r="AA2210" s="50">
        <v>459.5</v>
      </c>
      <c r="AB2210" s="51">
        <v>6.1189</v>
      </c>
      <c r="AC2210" s="52">
        <f t="shared" si="566"/>
        <v>1.2133266443361292</v>
      </c>
    </row>
    <row r="2211" spans="27:29">
      <c r="AA2211" s="50">
        <v>459.4</v>
      </c>
      <c r="AB2211" s="51">
        <v>6.4828000000000001</v>
      </c>
      <c r="AC2211" s="52">
        <f t="shared" si="566"/>
        <v>1.1882373765516856</v>
      </c>
    </row>
    <row r="2212" spans="27:29">
      <c r="AA2212" s="50">
        <v>459.3</v>
      </c>
      <c r="AB2212" s="51">
        <v>6.9071999999999996</v>
      </c>
      <c r="AC2212" s="52">
        <f t="shared" si="566"/>
        <v>1.1606979686878076</v>
      </c>
    </row>
    <row r="2213" spans="27:29">
      <c r="AA2213" s="50">
        <v>459.2</v>
      </c>
      <c r="AB2213" s="51">
        <v>7.4122000000000003</v>
      </c>
      <c r="AC2213" s="52">
        <f t="shared" si="566"/>
        <v>1.1300528708258151</v>
      </c>
    </row>
    <row r="2214" spans="27:29">
      <c r="AA2214" s="50">
        <v>459.1</v>
      </c>
      <c r="AB2214" s="51">
        <v>7.9500999999999999</v>
      </c>
      <c r="AC2214" s="52">
        <f t="shared" si="566"/>
        <v>1.099627408554215</v>
      </c>
    </row>
    <row r="2215" spans="27:29">
      <c r="AA2215" s="50">
        <v>459</v>
      </c>
      <c r="AB2215" s="51">
        <v>8.5940999999999992</v>
      </c>
      <c r="AC2215" s="52">
        <f t="shared" si="566"/>
        <v>1.0657995972200096</v>
      </c>
    </row>
    <row r="2216" spans="27:29">
      <c r="AA2216" s="50">
        <v>458.9</v>
      </c>
      <c r="AB2216" s="51">
        <v>9.3244000000000007</v>
      </c>
      <c r="AC2216" s="52">
        <f t="shared" si="566"/>
        <v>1.0303791042991852</v>
      </c>
    </row>
    <row r="2217" spans="27:29">
      <c r="AA2217" s="50">
        <v>458.8</v>
      </c>
      <c r="AB2217" s="51">
        <v>10.16</v>
      </c>
      <c r="AC2217" s="52">
        <f t="shared" si="566"/>
        <v>0.99310629205209955</v>
      </c>
    </row>
    <row r="2218" spans="27:29">
      <c r="AA2218" s="50">
        <v>458.7</v>
      </c>
      <c r="AB2218" s="51">
        <v>11.074</v>
      </c>
      <c r="AC2218" s="52">
        <f t="shared" si="566"/>
        <v>0.9556954808240854</v>
      </c>
    </row>
    <row r="2219" spans="27:29">
      <c r="AA2219" s="50">
        <v>458.6</v>
      </c>
      <c r="AB2219" s="51">
        <v>12.067</v>
      </c>
      <c r="AC2219" s="52">
        <f t="shared" si="566"/>
        <v>0.91840068726706381</v>
      </c>
    </row>
    <row r="2220" spans="27:29">
      <c r="AA2220" s="50">
        <v>458.5</v>
      </c>
      <c r="AB2220" s="51">
        <v>13.129</v>
      </c>
      <c r="AC2220" s="52">
        <f t="shared" si="566"/>
        <v>0.88176835167297263</v>
      </c>
    </row>
    <row r="2221" spans="27:29">
      <c r="AA2221" s="50">
        <v>458.4</v>
      </c>
      <c r="AB2221" s="51">
        <v>14.292999999999999</v>
      </c>
      <c r="AC2221" s="52">
        <f t="shared" si="566"/>
        <v>0.84487660628928773</v>
      </c>
    </row>
    <row r="2222" spans="27:29">
      <c r="AA2222" s="50">
        <v>458.3</v>
      </c>
      <c r="AB2222" s="51">
        <v>15.472</v>
      </c>
      <c r="AC2222" s="52">
        <f t="shared" si="566"/>
        <v>0.81045354326107355</v>
      </c>
    </row>
    <row r="2223" spans="27:29">
      <c r="AA2223" s="50">
        <v>458.2</v>
      </c>
      <c r="AB2223" s="51">
        <v>16.687999999999999</v>
      </c>
      <c r="AC2223" s="52">
        <f t="shared" si="566"/>
        <v>0.77759570891754437</v>
      </c>
    </row>
    <row r="2224" spans="27:29">
      <c r="AA2224" s="50">
        <v>458.1</v>
      </c>
      <c r="AB2224" s="51">
        <v>17.920000000000002</v>
      </c>
      <c r="AC2224" s="52">
        <f t="shared" si="566"/>
        <v>0.74666199467389349</v>
      </c>
    </row>
    <row r="2225" spans="27:29">
      <c r="AA2225" s="50">
        <v>458</v>
      </c>
      <c r="AB2225" s="51">
        <v>19.170999999999999</v>
      </c>
      <c r="AC2225" s="52">
        <f t="shared" si="566"/>
        <v>0.71735523281026059</v>
      </c>
    </row>
    <row r="2226" spans="27:29">
      <c r="AA2226" s="50">
        <v>457.9</v>
      </c>
      <c r="AB2226" s="51">
        <v>20.428999999999998</v>
      </c>
      <c r="AC2226" s="52">
        <f t="shared" si="566"/>
        <v>0.68975289157171749</v>
      </c>
    </row>
    <row r="2227" spans="27:29">
      <c r="AA2227" s="50">
        <v>457.8</v>
      </c>
      <c r="AB2227" s="51">
        <v>21.603000000000002</v>
      </c>
      <c r="AC2227" s="52">
        <f t="shared" si="566"/>
        <v>0.66548593435943615</v>
      </c>
    </row>
    <row r="2228" spans="27:29">
      <c r="AA2228" s="50">
        <v>457.7</v>
      </c>
      <c r="AB2228" s="51">
        <v>22.661999999999999</v>
      </c>
      <c r="AC2228" s="52">
        <f t="shared" si="566"/>
        <v>0.64470176478883134</v>
      </c>
    </row>
    <row r="2229" spans="27:29">
      <c r="AA2229" s="50">
        <v>457.6</v>
      </c>
      <c r="AB2229" s="51">
        <v>23.689</v>
      </c>
      <c r="AC2229" s="52">
        <f t="shared" si="566"/>
        <v>0.62545327206104073</v>
      </c>
    </row>
    <row r="2230" spans="27:29">
      <c r="AA2230" s="50">
        <v>457.5</v>
      </c>
      <c r="AB2230" s="51">
        <v>24.626999999999999</v>
      </c>
      <c r="AC2230" s="52">
        <f t="shared" si="566"/>
        <v>0.60858848961438849</v>
      </c>
    </row>
    <row r="2231" spans="27:29">
      <c r="AA2231" s="50">
        <v>457.4</v>
      </c>
      <c r="AB2231" s="51">
        <v>25.417999999999999</v>
      </c>
      <c r="AC2231" s="52">
        <f t="shared" si="566"/>
        <v>0.5948586246370503</v>
      </c>
    </row>
    <row r="2232" spans="27:29">
      <c r="AA2232" s="50">
        <v>457.3</v>
      </c>
      <c r="AB2232" s="51">
        <v>26.065999999999999</v>
      </c>
      <c r="AC2232" s="52">
        <f t="shared" si="566"/>
        <v>0.5839256090776056</v>
      </c>
    </row>
    <row r="2233" spans="27:29">
      <c r="AA2233" s="50">
        <v>457.2</v>
      </c>
      <c r="AB2233" s="51">
        <v>26.605</v>
      </c>
      <c r="AC2233" s="52">
        <f t="shared" si="566"/>
        <v>0.57503673673925881</v>
      </c>
    </row>
    <row r="2234" spans="27:29">
      <c r="AA2234" s="50">
        <v>457.1</v>
      </c>
      <c r="AB2234" s="51">
        <v>26.998999999999999</v>
      </c>
      <c r="AC2234" s="52">
        <f t="shared" si="566"/>
        <v>0.56865232111970132</v>
      </c>
    </row>
    <row r="2235" spans="27:29">
      <c r="AA2235" s="50">
        <v>457</v>
      </c>
      <c r="AB2235" s="51">
        <v>27.222000000000001</v>
      </c>
      <c r="AC2235" s="52">
        <f t="shared" si="566"/>
        <v>0.56507997035033963</v>
      </c>
    </row>
    <row r="2236" spans="27:29">
      <c r="AA2236" s="50">
        <v>456.9</v>
      </c>
      <c r="AB2236" s="51">
        <v>27.283000000000001</v>
      </c>
      <c r="AC2236" s="52">
        <f t="shared" si="566"/>
        <v>0.56410787698434617</v>
      </c>
    </row>
    <row r="2237" spans="27:29">
      <c r="AA2237" s="50">
        <v>456.8</v>
      </c>
      <c r="AB2237" s="51">
        <v>27.2</v>
      </c>
      <c r="AC2237" s="52">
        <f t="shared" si="566"/>
        <v>0.56543109596580121</v>
      </c>
    </row>
    <row r="2238" spans="27:29">
      <c r="AA2238" s="50">
        <v>456.7</v>
      </c>
      <c r="AB2238" s="51">
        <v>26.99</v>
      </c>
      <c r="AC2238" s="52">
        <f t="shared" si="566"/>
        <v>0.56879711544348344</v>
      </c>
    </row>
    <row r="2239" spans="27:29">
      <c r="AA2239" s="50">
        <v>456.6</v>
      </c>
      <c r="AB2239" s="51">
        <v>26.637</v>
      </c>
      <c r="AC2239" s="52">
        <f t="shared" si="566"/>
        <v>0.57451468929196825</v>
      </c>
    </row>
    <row r="2240" spans="27:29">
      <c r="AA2240" s="50">
        <v>456.5</v>
      </c>
      <c r="AB2240" s="51">
        <v>26.21</v>
      </c>
      <c r="AC2240" s="52">
        <f t="shared" si="566"/>
        <v>0.58153297905339951</v>
      </c>
    </row>
    <row r="2241" spans="27:29">
      <c r="AA2241" s="50">
        <v>456.4</v>
      </c>
      <c r="AB2241" s="51">
        <v>25.666</v>
      </c>
      <c r="AC2241" s="52">
        <f t="shared" si="566"/>
        <v>0.59064181006983485</v>
      </c>
    </row>
    <row r="2242" spans="27:29">
      <c r="AA2242" s="50">
        <v>456.3</v>
      </c>
      <c r="AB2242" s="51">
        <v>25.053000000000001</v>
      </c>
      <c r="AC2242" s="52">
        <f t="shared" si="566"/>
        <v>0.60114026159573886</v>
      </c>
    </row>
    <row r="2243" spans="27:29">
      <c r="AA2243" s="50">
        <v>456.2</v>
      </c>
      <c r="AB2243" s="51">
        <v>24.324999999999999</v>
      </c>
      <c r="AC2243" s="52">
        <f t="shared" si="566"/>
        <v>0.61394715105961051</v>
      </c>
    </row>
    <row r="2244" spans="27:29">
      <c r="AA2244" s="50">
        <v>456.1</v>
      </c>
      <c r="AB2244" s="51">
        <v>23.533999999999999</v>
      </c>
      <c r="AC2244" s="52">
        <f t="shared" si="566"/>
        <v>0.62830425088229103</v>
      </c>
    </row>
    <row r="2245" spans="27:29">
      <c r="AA2245" s="50">
        <v>456</v>
      </c>
      <c r="AB2245" s="51">
        <v>22.748000000000001</v>
      </c>
      <c r="AC2245" s="52">
        <f t="shared" si="566"/>
        <v>0.64305678041987002</v>
      </c>
    </row>
    <row r="2246" spans="27:29">
      <c r="AA2246" s="50">
        <v>455.9</v>
      </c>
      <c r="AB2246" s="51">
        <v>21.91</v>
      </c>
      <c r="AC2246" s="52">
        <f t="shared" si="566"/>
        <v>0.65935762243929474</v>
      </c>
    </row>
    <row r="2247" spans="27:29">
      <c r="AA2247" s="50">
        <v>455.8</v>
      </c>
      <c r="AB2247" s="51">
        <v>21.027000000000001</v>
      </c>
      <c r="AC2247" s="52">
        <f t="shared" si="566"/>
        <v>0.67722268529679319</v>
      </c>
    </row>
    <row r="2248" spans="27:29">
      <c r="AA2248" s="50">
        <v>455.7</v>
      </c>
      <c r="AB2248" s="51">
        <v>20.132000000000001</v>
      </c>
      <c r="AC2248" s="52">
        <f t="shared" si="566"/>
        <v>0.6961130782748981</v>
      </c>
    </row>
    <row r="2249" spans="27:29">
      <c r="AA2249" s="50">
        <v>455.6</v>
      </c>
      <c r="AB2249" s="51">
        <v>19.23</v>
      </c>
      <c r="AC2249" s="52">
        <f t="shared" si="566"/>
        <v>0.71602071576152015</v>
      </c>
    </row>
    <row r="2250" spans="27:29">
      <c r="AA2250" s="50">
        <v>455.5</v>
      </c>
      <c r="AB2250" s="51">
        <v>18.337</v>
      </c>
      <c r="AC2250" s="52">
        <f t="shared" ref="AC2250:AC2313" si="567">-LOG(AB2250/100)</f>
        <v>0.7366717150137696</v>
      </c>
    </row>
    <row r="2251" spans="27:29">
      <c r="AA2251" s="50">
        <v>455.4</v>
      </c>
      <c r="AB2251" s="51">
        <v>17.443999999999999</v>
      </c>
      <c r="AC2251" s="52">
        <f t="shared" si="567"/>
        <v>0.75835392199861118</v>
      </c>
    </row>
    <row r="2252" spans="27:29">
      <c r="AA2252" s="50">
        <v>455.3</v>
      </c>
      <c r="AB2252" s="51">
        <v>16.524000000000001</v>
      </c>
      <c r="AC2252" s="52">
        <f t="shared" si="567"/>
        <v>0.78188481369545149</v>
      </c>
    </row>
    <row r="2253" spans="27:29">
      <c r="AA2253" s="50">
        <v>455.2</v>
      </c>
      <c r="AB2253" s="51">
        <v>15.638999999999999</v>
      </c>
      <c r="AC2253" s="52">
        <f t="shared" si="567"/>
        <v>0.80579102035331851</v>
      </c>
    </row>
    <row r="2254" spans="27:29">
      <c r="AA2254" s="50">
        <v>455.1</v>
      </c>
      <c r="AB2254" s="51">
        <v>14.88</v>
      </c>
      <c r="AC2254" s="52">
        <f t="shared" si="567"/>
        <v>0.82739706879014008</v>
      </c>
    </row>
    <row r="2255" spans="27:29">
      <c r="AA2255" s="50">
        <v>455</v>
      </c>
      <c r="AB2255" s="51">
        <v>14.013999999999999</v>
      </c>
      <c r="AC2255" s="52">
        <f t="shared" si="567"/>
        <v>0.85343788684244337</v>
      </c>
    </row>
    <row r="2256" spans="27:29">
      <c r="AA2256" s="50">
        <v>454.9</v>
      </c>
      <c r="AB2256" s="51">
        <v>13.265000000000001</v>
      </c>
      <c r="AC2256" s="52">
        <f t="shared" si="567"/>
        <v>0.87729274568165194</v>
      </c>
    </row>
    <row r="2257" spans="27:29">
      <c r="AA2257" s="50">
        <v>454.8</v>
      </c>
      <c r="AB2257" s="51">
        <v>12.48</v>
      </c>
      <c r="AC2257" s="52">
        <f t="shared" si="567"/>
        <v>0.90378541465359474</v>
      </c>
    </row>
    <row r="2258" spans="27:29">
      <c r="AA2258" s="50">
        <v>454.7</v>
      </c>
      <c r="AB2258" s="51">
        <v>11.78</v>
      </c>
      <c r="AC2258" s="52">
        <f t="shared" si="567"/>
        <v>0.92885470954891725</v>
      </c>
    </row>
    <row r="2259" spans="27:29">
      <c r="AA2259" s="50">
        <v>454.6</v>
      </c>
      <c r="AB2259" s="51">
        <v>11.122</v>
      </c>
      <c r="AC2259" s="52">
        <f t="shared" si="567"/>
        <v>0.95381710925911845</v>
      </c>
    </row>
    <row r="2260" spans="27:29">
      <c r="AA2260" s="50">
        <v>454.5</v>
      </c>
      <c r="AB2260" s="51">
        <v>10.497</v>
      </c>
      <c r="AC2260" s="52">
        <f t="shared" si="567"/>
        <v>0.97893480279743117</v>
      </c>
    </row>
    <row r="2261" spans="27:29">
      <c r="AA2261" s="50">
        <v>454.4</v>
      </c>
      <c r="AB2261" s="51">
        <v>9.9236000000000004</v>
      </c>
      <c r="AC2261" s="52">
        <f t="shared" si="567"/>
        <v>1.0033307495684922</v>
      </c>
    </row>
    <row r="2262" spans="27:29">
      <c r="AA2262" s="50">
        <v>454.3</v>
      </c>
      <c r="AB2262" s="51">
        <v>9.4064999999999994</v>
      </c>
      <c r="AC2262" s="52">
        <f t="shared" si="567"/>
        <v>1.026571940168969</v>
      </c>
    </row>
    <row r="2263" spans="27:29">
      <c r="AA2263" s="50">
        <v>454.2</v>
      </c>
      <c r="AB2263" s="51">
        <v>8.9417000000000009</v>
      </c>
      <c r="AC2263" s="52">
        <f t="shared" si="567"/>
        <v>1.0485799050931466</v>
      </c>
    </row>
    <row r="2264" spans="27:29">
      <c r="AA2264" s="50">
        <v>454.1</v>
      </c>
      <c r="AB2264" s="51">
        <v>8.5342000000000002</v>
      </c>
      <c r="AC2264" s="52">
        <f t="shared" si="567"/>
        <v>1.0688371836142041</v>
      </c>
    </row>
    <row r="2265" spans="27:29">
      <c r="AA2265" s="50">
        <v>454</v>
      </c>
      <c r="AB2265" s="51">
        <v>8.1826000000000008</v>
      </c>
      <c r="AC2265" s="52">
        <f t="shared" si="567"/>
        <v>1.0871086784510229</v>
      </c>
    </row>
    <row r="2266" spans="27:29">
      <c r="AA2266" s="50">
        <v>453.9</v>
      </c>
      <c r="AB2266" s="51">
        <v>7.9019000000000004</v>
      </c>
      <c r="AC2266" s="52">
        <f t="shared" si="567"/>
        <v>1.1022684706964598</v>
      </c>
    </row>
    <row r="2267" spans="27:29">
      <c r="AA2267" s="50">
        <v>453.8</v>
      </c>
      <c r="AB2267" s="51">
        <v>7.6867000000000001</v>
      </c>
      <c r="AC2267" s="52">
        <f t="shared" si="567"/>
        <v>1.1142600684412067</v>
      </c>
    </row>
    <row r="2268" spans="27:29">
      <c r="AA2268" s="50">
        <v>453.7</v>
      </c>
      <c r="AB2268" s="51">
        <v>7.5467000000000004</v>
      </c>
      <c r="AC2268" s="52">
        <f t="shared" si="567"/>
        <v>1.1222429139458192</v>
      </c>
    </row>
    <row r="2269" spans="27:29">
      <c r="AA2269" s="50">
        <v>453.6</v>
      </c>
      <c r="AB2269" s="51">
        <v>7.4497</v>
      </c>
      <c r="AC2269" s="52">
        <f t="shared" si="567"/>
        <v>1.1278612159722303</v>
      </c>
    </row>
    <row r="2270" spans="27:29">
      <c r="AA2270" s="50">
        <v>453.5</v>
      </c>
      <c r="AB2270" s="51">
        <v>7.4245999999999999</v>
      </c>
      <c r="AC2270" s="52">
        <f t="shared" si="567"/>
        <v>1.1293269389767024</v>
      </c>
    </row>
    <row r="2271" spans="27:29">
      <c r="AA2271" s="50">
        <v>453.4</v>
      </c>
      <c r="AB2271" s="51">
        <v>7.4631999999999996</v>
      </c>
      <c r="AC2271" s="52">
        <f t="shared" si="567"/>
        <v>1.1270749199322589</v>
      </c>
    </row>
    <row r="2272" spans="27:29">
      <c r="AA2272" s="50">
        <v>453.3</v>
      </c>
      <c r="AB2272" s="51">
        <v>7.5608000000000004</v>
      </c>
      <c r="AC2272" s="52">
        <f t="shared" si="567"/>
        <v>1.1214322498421818</v>
      </c>
    </row>
    <row r="2273" spans="27:29">
      <c r="AA2273" s="50">
        <v>453.2</v>
      </c>
      <c r="AB2273" s="51">
        <v>7.7248999999999999</v>
      </c>
      <c r="AC2273" s="52">
        <f t="shared" si="567"/>
        <v>1.1121071338745567</v>
      </c>
    </row>
    <row r="2274" spans="27:29">
      <c r="AA2274" s="50">
        <v>453.1</v>
      </c>
      <c r="AB2274" s="51">
        <v>7.9467999999999996</v>
      </c>
      <c r="AC2274" s="52">
        <f t="shared" si="567"/>
        <v>1.0998077168924278</v>
      </c>
    </row>
    <row r="2275" spans="27:29">
      <c r="AA2275" s="50">
        <v>453</v>
      </c>
      <c r="AB2275" s="51">
        <v>8.2231000000000005</v>
      </c>
      <c r="AC2275" s="52">
        <f t="shared" si="567"/>
        <v>1.0849644283126354</v>
      </c>
    </row>
    <row r="2276" spans="27:29">
      <c r="AA2276" s="50">
        <v>452.9</v>
      </c>
      <c r="AB2276" s="51">
        <v>8.5465</v>
      </c>
      <c r="AC2276" s="52">
        <f t="shared" si="567"/>
        <v>1.0682117030366209</v>
      </c>
    </row>
    <row r="2277" spans="27:29">
      <c r="AA2277" s="50">
        <v>452.8</v>
      </c>
      <c r="AB2277" s="51">
        <v>8.9109999999999996</v>
      </c>
      <c r="AC2277" s="52">
        <f t="shared" si="567"/>
        <v>1.0500735563320878</v>
      </c>
    </row>
    <row r="2278" spans="27:29">
      <c r="AA2278" s="50">
        <v>452.7</v>
      </c>
      <c r="AB2278" s="51">
        <v>9.3417999999999992</v>
      </c>
      <c r="AC2278" s="52">
        <f t="shared" si="567"/>
        <v>1.0295694348245326</v>
      </c>
    </row>
    <row r="2279" spans="27:29">
      <c r="AA2279" s="50">
        <v>452.6</v>
      </c>
      <c r="AB2279" s="51">
        <v>9.8291000000000004</v>
      </c>
      <c r="AC2279" s="52">
        <f t="shared" si="567"/>
        <v>1.0074862464535119</v>
      </c>
    </row>
    <row r="2280" spans="27:29">
      <c r="AA2280" s="50">
        <v>452.5</v>
      </c>
      <c r="AB2280" s="51">
        <v>10.335000000000001</v>
      </c>
      <c r="AC2280" s="52">
        <f t="shared" si="567"/>
        <v>0.98568951903669288</v>
      </c>
    </row>
    <row r="2281" spans="27:29">
      <c r="AA2281" s="50">
        <v>452.4</v>
      </c>
      <c r="AB2281" s="51">
        <v>10.852</v>
      </c>
      <c r="AC2281" s="52">
        <f t="shared" si="567"/>
        <v>0.96449021491044151</v>
      </c>
    </row>
    <row r="2282" spans="27:29">
      <c r="AA2282" s="50">
        <v>452.3</v>
      </c>
      <c r="AB2282" s="51">
        <v>11.398999999999999</v>
      </c>
      <c r="AC2282" s="52">
        <f t="shared" si="567"/>
        <v>0.94313324634168716</v>
      </c>
    </row>
    <row r="2283" spans="27:29">
      <c r="AA2283" s="50">
        <v>452.2</v>
      </c>
      <c r="AB2283" s="51">
        <v>12.01</v>
      </c>
      <c r="AC2283" s="52">
        <f t="shared" si="567"/>
        <v>0.9204569925970939</v>
      </c>
    </row>
    <row r="2284" spans="27:29">
      <c r="AA2284" s="50">
        <v>452.1</v>
      </c>
      <c r="AB2284" s="51">
        <v>12.625999999999999</v>
      </c>
      <c r="AC2284" s="52">
        <f t="shared" si="567"/>
        <v>0.89873421500866502</v>
      </c>
    </row>
    <row r="2285" spans="27:29">
      <c r="AA2285" s="50">
        <v>452</v>
      </c>
      <c r="AB2285" s="51">
        <v>13.279</v>
      </c>
      <c r="AC2285" s="52">
        <f t="shared" si="567"/>
        <v>0.87683462909708065</v>
      </c>
    </row>
    <row r="2286" spans="27:29">
      <c r="AA2286" s="50">
        <v>451.9</v>
      </c>
      <c r="AB2286" s="51">
        <v>13.938000000000001</v>
      </c>
      <c r="AC2286" s="52">
        <f t="shared" si="567"/>
        <v>0.85579953981612089</v>
      </c>
    </row>
    <row r="2287" spans="27:29">
      <c r="AA2287" s="50">
        <v>451.8</v>
      </c>
      <c r="AB2287" s="51">
        <v>14.635999999999999</v>
      </c>
      <c r="AC2287" s="52">
        <f t="shared" si="567"/>
        <v>0.83457759918543017</v>
      </c>
    </row>
    <row r="2288" spans="27:29">
      <c r="AA2288" s="50">
        <v>451.7</v>
      </c>
      <c r="AB2288" s="51">
        <v>15.332000000000001</v>
      </c>
      <c r="AC2288" s="52">
        <f t="shared" si="567"/>
        <v>0.81440118941768547</v>
      </c>
    </row>
    <row r="2289" spans="27:29">
      <c r="AA2289" s="50">
        <v>451.6</v>
      </c>
      <c r="AB2289" s="51">
        <v>16.03</v>
      </c>
      <c r="AC2289" s="52">
        <f t="shared" si="567"/>
        <v>0.79506647764585514</v>
      </c>
    </row>
    <row r="2290" spans="27:29">
      <c r="AA2290" s="50">
        <v>451.5</v>
      </c>
      <c r="AB2290" s="51">
        <v>16.727</v>
      </c>
      <c r="AC2290" s="52">
        <f t="shared" si="567"/>
        <v>0.77658194309470574</v>
      </c>
    </row>
    <row r="2291" spans="27:29">
      <c r="AA2291" s="50">
        <v>451.4</v>
      </c>
      <c r="AB2291" s="51">
        <v>17.423999999999999</v>
      </c>
      <c r="AC2291" s="52">
        <f t="shared" si="567"/>
        <v>0.75885213758830028</v>
      </c>
    </row>
    <row r="2292" spans="27:29">
      <c r="AA2292" s="50">
        <v>451.3</v>
      </c>
      <c r="AB2292" s="51">
        <v>18.081</v>
      </c>
      <c r="AC2292" s="52">
        <f t="shared" si="567"/>
        <v>0.74277755381242594</v>
      </c>
    </row>
    <row r="2293" spans="27:29">
      <c r="AA2293" s="50">
        <v>451.2</v>
      </c>
      <c r="AB2293" s="51">
        <v>18.702999999999999</v>
      </c>
      <c r="AC2293" s="52">
        <f t="shared" si="567"/>
        <v>0.72808872614010434</v>
      </c>
    </row>
    <row r="2294" spans="27:29">
      <c r="AA2294" s="50">
        <v>451.1</v>
      </c>
      <c r="AB2294" s="51">
        <v>19.274999999999999</v>
      </c>
      <c r="AC2294" s="52">
        <f t="shared" si="567"/>
        <v>0.71500561327700551</v>
      </c>
    </row>
    <row r="2295" spans="27:29">
      <c r="AA2295" s="50">
        <v>451</v>
      </c>
      <c r="AB2295" s="51">
        <v>19.768000000000001</v>
      </c>
      <c r="AC2295" s="52">
        <f t="shared" si="567"/>
        <v>0.70403726760597707</v>
      </c>
    </row>
    <row r="2296" spans="27:29">
      <c r="AA2296" s="50">
        <v>450.9</v>
      </c>
      <c r="AB2296" s="51">
        <v>20.169</v>
      </c>
      <c r="AC2296" s="52">
        <f t="shared" si="567"/>
        <v>0.69531563402561392</v>
      </c>
    </row>
    <row r="2297" spans="27:29">
      <c r="AA2297" s="50">
        <v>450.8</v>
      </c>
      <c r="AB2297" s="51">
        <v>20.495999999999999</v>
      </c>
      <c r="AC2297" s="52">
        <f t="shared" si="567"/>
        <v>0.68833088759938899</v>
      </c>
    </row>
    <row r="2298" spans="27:29">
      <c r="AA2298" s="50">
        <v>450.7</v>
      </c>
      <c r="AB2298" s="51">
        <v>20.704999999999998</v>
      </c>
      <c r="AC2298" s="52">
        <f t="shared" si="567"/>
        <v>0.68392476516160317</v>
      </c>
    </row>
    <row r="2299" spans="27:29">
      <c r="AA2299" s="50">
        <v>450.6</v>
      </c>
      <c r="AB2299" s="51">
        <v>20.827000000000002</v>
      </c>
      <c r="AC2299" s="52">
        <f t="shared" si="567"/>
        <v>0.68137328297003319</v>
      </c>
    </row>
    <row r="2300" spans="27:29">
      <c r="AA2300" s="50">
        <v>450.5</v>
      </c>
      <c r="AB2300" s="51">
        <v>20.806000000000001</v>
      </c>
      <c r="AC2300" s="52">
        <f t="shared" si="567"/>
        <v>0.68181140584820399</v>
      </c>
    </row>
    <row r="2301" spans="27:29">
      <c r="AA2301" s="50">
        <v>450.4</v>
      </c>
      <c r="AB2301" s="51">
        <v>20.667999999999999</v>
      </c>
      <c r="AC2301" s="52">
        <f t="shared" si="567"/>
        <v>0.68470154712637588</v>
      </c>
    </row>
    <row r="2302" spans="27:29">
      <c r="AA2302" s="50">
        <v>450.3</v>
      </c>
      <c r="AB2302" s="51">
        <v>20.411999999999999</v>
      </c>
      <c r="AC2302" s="52">
        <f t="shared" si="567"/>
        <v>0.69011444033980618</v>
      </c>
    </row>
    <row r="2303" spans="27:29">
      <c r="AA2303" s="50">
        <v>450.2</v>
      </c>
      <c r="AB2303" s="51">
        <v>20.032</v>
      </c>
      <c r="AC2303" s="52">
        <f t="shared" si="567"/>
        <v>0.69827568846966437</v>
      </c>
    </row>
    <row r="2304" spans="27:29">
      <c r="AA2304" s="50">
        <v>450.1</v>
      </c>
      <c r="AB2304" s="51">
        <v>19.529</v>
      </c>
      <c r="AC2304" s="52">
        <f t="shared" si="567"/>
        <v>0.70931999458213713</v>
      </c>
    </row>
    <row r="2305" spans="27:29">
      <c r="AA2305" s="50">
        <v>450</v>
      </c>
      <c r="AB2305" s="51">
        <v>18.904</v>
      </c>
      <c r="AC2305" s="52">
        <f t="shared" si="567"/>
        <v>0.72344629137568739</v>
      </c>
    </row>
    <row r="2306" spans="27:29">
      <c r="AA2306" s="50">
        <v>449.9</v>
      </c>
      <c r="AB2306" s="51">
        <v>18.151</v>
      </c>
      <c r="AC2306" s="52">
        <f t="shared" si="567"/>
        <v>0.74109944321639165</v>
      </c>
    </row>
    <row r="2307" spans="27:29">
      <c r="AA2307" s="50">
        <v>449.8</v>
      </c>
      <c r="AB2307" s="51">
        <v>17.34</v>
      </c>
      <c r="AC2307" s="52">
        <f t="shared" si="567"/>
        <v>0.76095090685980848</v>
      </c>
    </row>
    <row r="2308" spans="27:29">
      <c r="AA2308" s="50">
        <v>449.7</v>
      </c>
      <c r="AB2308" s="51">
        <v>16.439</v>
      </c>
      <c r="AC2308" s="52">
        <f t="shared" si="567"/>
        <v>0.78412460453872435</v>
      </c>
    </row>
    <row r="2309" spans="27:29">
      <c r="AA2309" s="50">
        <v>449.6</v>
      </c>
      <c r="AB2309" s="51">
        <v>15.544</v>
      </c>
      <c r="AC2309" s="52">
        <f t="shared" si="567"/>
        <v>0.80843721240827393</v>
      </c>
    </row>
    <row r="2310" spans="27:29">
      <c r="AA2310" s="50">
        <v>449.5</v>
      </c>
      <c r="AB2310" s="51">
        <v>14.513999999999999</v>
      </c>
      <c r="AC2310" s="52">
        <f t="shared" si="567"/>
        <v>0.83821288125447668</v>
      </c>
    </row>
    <row r="2311" spans="27:29">
      <c r="AA2311" s="50">
        <v>449.4</v>
      </c>
      <c r="AB2311" s="51">
        <v>13.475</v>
      </c>
      <c r="AC2311" s="52">
        <f t="shared" si="567"/>
        <v>0.87047122614122363</v>
      </c>
    </row>
    <row r="2312" spans="27:29">
      <c r="AA2312" s="50">
        <v>449.3</v>
      </c>
      <c r="AB2312" s="51">
        <v>12.433999999999999</v>
      </c>
      <c r="AC2312" s="52">
        <f t="shared" si="567"/>
        <v>0.90538913696786305</v>
      </c>
    </row>
    <row r="2313" spans="27:29">
      <c r="AA2313" s="50">
        <v>449.2</v>
      </c>
      <c r="AB2313" s="51">
        <v>11.393000000000001</v>
      </c>
      <c r="AC2313" s="52">
        <f t="shared" si="567"/>
        <v>0.94336190262034747</v>
      </c>
    </row>
    <row r="2314" spans="27:29">
      <c r="AA2314" s="50">
        <v>449.1</v>
      </c>
      <c r="AB2314" s="51">
        <v>10.331</v>
      </c>
      <c r="AC2314" s="52">
        <f t="shared" ref="AC2314:AC2377" si="568">-LOG(AB2314/100)</f>
        <v>0.98585763845499419</v>
      </c>
    </row>
    <row r="2315" spans="27:29">
      <c r="AA2315" s="50">
        <v>449</v>
      </c>
      <c r="AB2315" s="51">
        <v>9.3134999999999994</v>
      </c>
      <c r="AC2315" s="52">
        <f t="shared" si="568"/>
        <v>1.0308870810983355</v>
      </c>
    </row>
    <row r="2316" spans="27:29">
      <c r="AA2316" s="50">
        <v>448.9</v>
      </c>
      <c r="AB2316" s="51">
        <v>8.3156999999999996</v>
      </c>
      <c r="AC2316" s="52">
        <f t="shared" si="568"/>
        <v>1.0801011868122743</v>
      </c>
    </row>
    <row r="2317" spans="27:29">
      <c r="AA2317" s="50">
        <v>448.8</v>
      </c>
      <c r="AB2317" s="51">
        <v>7.4</v>
      </c>
      <c r="AC2317" s="52">
        <f t="shared" si="568"/>
        <v>1.1307682802690238</v>
      </c>
    </row>
    <row r="2318" spans="27:29">
      <c r="AA2318" s="50">
        <v>448.7</v>
      </c>
      <c r="AB2318" s="51">
        <v>6.4976000000000003</v>
      </c>
      <c r="AC2318" s="52">
        <f t="shared" si="568"/>
        <v>1.1872470278540381</v>
      </c>
    </row>
    <row r="2319" spans="27:29">
      <c r="AA2319" s="50">
        <v>448.6</v>
      </c>
      <c r="AB2319" s="51">
        <v>5.6787000000000001</v>
      </c>
      <c r="AC2319" s="52">
        <f t="shared" si="568"/>
        <v>1.2457510740504749</v>
      </c>
    </row>
    <row r="2320" spans="27:29">
      <c r="AA2320" s="50">
        <v>448.5</v>
      </c>
      <c r="AB2320" s="51">
        <v>4.915</v>
      </c>
      <c r="AC2320" s="52">
        <f t="shared" si="568"/>
        <v>1.3084764778318456</v>
      </c>
    </row>
    <row r="2321" spans="27:29">
      <c r="AA2321" s="50">
        <v>448.4</v>
      </c>
      <c r="AB2321" s="51">
        <v>4.2811000000000003</v>
      </c>
      <c r="AC2321" s="52">
        <f t="shared" si="568"/>
        <v>1.3684446275870961</v>
      </c>
    </row>
    <row r="2322" spans="27:29">
      <c r="AA2322" s="50">
        <v>448.3</v>
      </c>
      <c r="AB2322" s="51">
        <v>3.6856</v>
      </c>
      <c r="AC2322" s="52">
        <f t="shared" si="568"/>
        <v>1.4334918007553767</v>
      </c>
    </row>
    <row r="2323" spans="27:29">
      <c r="AA2323" s="50">
        <v>448.2</v>
      </c>
      <c r="AB2323" s="51">
        <v>3.1793999999999998</v>
      </c>
      <c r="AC2323" s="52">
        <f t="shared" si="568"/>
        <v>1.4976548301020269</v>
      </c>
    </row>
    <row r="2324" spans="27:29">
      <c r="AA2324" s="50">
        <v>448.1</v>
      </c>
      <c r="AB2324" s="51">
        <v>2.71</v>
      </c>
      <c r="AC2324" s="52">
        <f t="shared" si="568"/>
        <v>1.5670307091255944</v>
      </c>
    </row>
    <row r="2325" spans="27:29">
      <c r="AA2325" s="50">
        <v>448</v>
      </c>
      <c r="AB2325" s="51">
        <v>2.3037000000000001</v>
      </c>
      <c r="AC2325" s="52">
        <f t="shared" si="568"/>
        <v>1.6375740776913696</v>
      </c>
    </row>
    <row r="2326" spans="27:29">
      <c r="AA2326" s="50">
        <v>447.9</v>
      </c>
      <c r="AB2326" s="51">
        <v>1.9635</v>
      </c>
      <c r="AC2326" s="52">
        <f t="shared" si="568"/>
        <v>1.7069690943935629</v>
      </c>
    </row>
    <row r="2327" spans="27:29">
      <c r="AA2327" s="50">
        <v>447.8</v>
      </c>
      <c r="AB2327" s="51">
        <v>1.6758</v>
      </c>
      <c r="AC2327" s="52">
        <f t="shared" si="568"/>
        <v>1.7757778139153513</v>
      </c>
    </row>
    <row r="2328" spans="27:29">
      <c r="AA2328" s="50">
        <v>447.7</v>
      </c>
      <c r="AB2328" s="51">
        <v>1.4266000000000001</v>
      </c>
      <c r="AC2328" s="52">
        <f t="shared" si="568"/>
        <v>1.8456977803153356</v>
      </c>
    </row>
    <row r="2329" spans="27:29">
      <c r="AA2329" s="50">
        <v>447.6</v>
      </c>
      <c r="AB2329" s="51">
        <v>1.2121</v>
      </c>
      <c r="AC2329" s="52">
        <f t="shared" si="568"/>
        <v>1.9164615487698604</v>
      </c>
    </row>
    <row r="2330" spans="27:29">
      <c r="AA2330" s="50">
        <v>447.5</v>
      </c>
      <c r="AB2330" s="51">
        <v>1.0354000000000001</v>
      </c>
      <c r="AC2330" s="52">
        <f t="shared" si="568"/>
        <v>1.9848918393541628</v>
      </c>
    </row>
    <row r="2331" spans="27:29">
      <c r="AA2331" s="50">
        <v>447.4</v>
      </c>
      <c r="AB2331" s="51">
        <v>0.88553999999999999</v>
      </c>
      <c r="AC2331" s="52">
        <f t="shared" si="568"/>
        <v>2.0527918168715042</v>
      </c>
    </row>
    <row r="2332" spans="27:29">
      <c r="AA2332" s="50">
        <v>447.3</v>
      </c>
      <c r="AB2332" s="51">
        <v>0.75600999999999996</v>
      </c>
      <c r="AC2332" s="52">
        <f t="shared" si="568"/>
        <v>2.1214724599007826</v>
      </c>
    </row>
    <row r="2333" spans="27:29">
      <c r="AA2333" s="50">
        <v>447.2</v>
      </c>
      <c r="AB2333" s="51">
        <v>0.64612000000000003</v>
      </c>
      <c r="AC2333" s="52">
        <f t="shared" si="568"/>
        <v>2.1896868155993525</v>
      </c>
    </row>
    <row r="2334" spans="27:29">
      <c r="AA2334" s="50">
        <v>447.1</v>
      </c>
      <c r="AB2334" s="51">
        <v>0.54718999999999995</v>
      </c>
      <c r="AC2334" s="52">
        <f t="shared" si="568"/>
        <v>2.2618618480286252</v>
      </c>
    </row>
    <row r="2335" spans="27:29">
      <c r="AA2335" s="50">
        <v>447</v>
      </c>
      <c r="AB2335" s="51">
        <v>0.47265000000000001</v>
      </c>
      <c r="AC2335" s="52">
        <f t="shared" si="568"/>
        <v>2.3254603377703189</v>
      </c>
    </row>
    <row r="2336" spans="27:29">
      <c r="AA2336" s="50">
        <v>446.9</v>
      </c>
      <c r="AB2336" s="51">
        <v>0.40373999999999999</v>
      </c>
      <c r="AC2336" s="52">
        <f t="shared" si="568"/>
        <v>2.3938982213137261</v>
      </c>
    </row>
    <row r="2337" spans="27:29">
      <c r="AA2337" s="50">
        <v>446.8</v>
      </c>
      <c r="AB2337" s="51">
        <v>0.34466999999999998</v>
      </c>
      <c r="AC2337" s="52">
        <f t="shared" si="568"/>
        <v>2.4625965158419918</v>
      </c>
    </row>
    <row r="2338" spans="27:29">
      <c r="AA2338" s="50">
        <v>446.7</v>
      </c>
      <c r="AB2338" s="51">
        <v>0.29121000000000002</v>
      </c>
      <c r="AC2338" s="52">
        <f t="shared" si="568"/>
        <v>2.5357937156562156</v>
      </c>
    </row>
    <row r="2339" spans="27:29">
      <c r="AA2339" s="50">
        <v>446.6</v>
      </c>
      <c r="AB2339" s="51">
        <v>0.24764</v>
      </c>
      <c r="AC2339" s="52">
        <f t="shared" si="568"/>
        <v>2.6061792046591328</v>
      </c>
    </row>
    <row r="2340" spans="27:29">
      <c r="AA2340" s="50">
        <v>446.5</v>
      </c>
      <c r="AB2340" s="51">
        <v>0.20959</v>
      </c>
      <c r="AC2340" s="52">
        <f t="shared" si="568"/>
        <v>2.6786294423391848</v>
      </c>
    </row>
    <row r="2341" spans="27:29">
      <c r="AA2341" s="50">
        <v>446.4</v>
      </c>
      <c r="AB2341" s="51">
        <v>0.17684</v>
      </c>
      <c r="AC2341" s="52">
        <f t="shared" si="568"/>
        <v>2.7524194937661637</v>
      </c>
    </row>
    <row r="2342" spans="27:29">
      <c r="AA2342" s="50">
        <v>446.3</v>
      </c>
      <c r="AB2342" s="51">
        <v>0.15013000000000001</v>
      </c>
      <c r="AC2342" s="52">
        <f t="shared" si="568"/>
        <v>2.8235325154008661</v>
      </c>
    </row>
    <row r="2343" spans="27:29">
      <c r="AA2343" s="50">
        <v>446.2</v>
      </c>
      <c r="AB2343" s="51">
        <v>0.12816</v>
      </c>
      <c r="AC2343" s="52">
        <f t="shared" si="568"/>
        <v>2.8922475012598374</v>
      </c>
    </row>
    <row r="2344" spans="27:29">
      <c r="AA2344" s="50">
        <v>446.1</v>
      </c>
      <c r="AB2344" s="51">
        <v>0.11017</v>
      </c>
      <c r="AC2344" s="52">
        <f t="shared" si="568"/>
        <v>2.9579366505678437</v>
      </c>
    </row>
    <row r="2345" spans="27:29">
      <c r="AA2345" s="50">
        <v>446</v>
      </c>
      <c r="AB2345" s="51">
        <v>9.5616000000000007E-2</v>
      </c>
      <c r="AC2345" s="52">
        <f t="shared" si="568"/>
        <v>3.0194694285367327</v>
      </c>
    </row>
    <row r="2346" spans="27:29">
      <c r="AA2346" s="50">
        <v>445.9</v>
      </c>
      <c r="AB2346" s="51">
        <v>8.5824999999999999E-2</v>
      </c>
      <c r="AC2346" s="52">
        <f t="shared" si="568"/>
        <v>3.0663861879022121</v>
      </c>
    </row>
    <row r="2347" spans="27:29">
      <c r="AA2347" s="50">
        <v>445.8</v>
      </c>
      <c r="AB2347" s="51">
        <v>7.9085000000000003E-2</v>
      </c>
      <c r="AC2347" s="52">
        <f t="shared" si="568"/>
        <v>3.1019058810406559</v>
      </c>
    </row>
    <row r="2348" spans="27:29">
      <c r="AA2348" s="50">
        <v>445.7</v>
      </c>
      <c r="AB2348" s="51">
        <v>7.6168E-2</v>
      </c>
      <c r="AC2348" s="52">
        <f t="shared" si="568"/>
        <v>3.1182274478511118</v>
      </c>
    </row>
    <row r="2349" spans="27:29">
      <c r="AA2349" s="50">
        <v>445.6</v>
      </c>
      <c r="AB2349" s="51">
        <v>7.5762999999999997E-2</v>
      </c>
      <c r="AC2349" s="52">
        <f t="shared" si="568"/>
        <v>3.1205428368341108</v>
      </c>
    </row>
    <row r="2350" spans="27:29">
      <c r="AA2350" s="50">
        <v>445.5</v>
      </c>
      <c r="AB2350" s="51">
        <v>7.8090000000000007E-2</v>
      </c>
      <c r="AC2350" s="52">
        <f t="shared" si="568"/>
        <v>3.1074045771711019</v>
      </c>
    </row>
    <row r="2351" spans="27:29">
      <c r="AA2351" s="50">
        <v>445.4</v>
      </c>
      <c r="AB2351" s="51">
        <v>8.8079000000000005E-2</v>
      </c>
      <c r="AC2351" s="52">
        <f t="shared" si="568"/>
        <v>3.0551276247464236</v>
      </c>
    </row>
    <row r="2352" spans="27:29">
      <c r="AA2352" s="50">
        <v>445.3</v>
      </c>
      <c r="AB2352" s="51">
        <v>0.10244</v>
      </c>
      <c r="AC2352" s="52">
        <f t="shared" si="568"/>
        <v>2.9895304302036081</v>
      </c>
    </row>
    <row r="2353" spans="27:29">
      <c r="AA2353" s="50">
        <v>445.2</v>
      </c>
      <c r="AB2353" s="51">
        <v>0.12495000000000001</v>
      </c>
      <c r="AC2353" s="52">
        <f t="shared" si="568"/>
        <v>2.9032637395375311</v>
      </c>
    </row>
    <row r="2354" spans="27:29">
      <c r="AA2354" s="50">
        <v>445.1</v>
      </c>
      <c r="AB2354" s="51">
        <v>0.15876000000000001</v>
      </c>
      <c r="AC2354" s="52">
        <f t="shared" si="568"/>
        <v>2.7992589097648741</v>
      </c>
    </row>
    <row r="2355" spans="27:29">
      <c r="AA2355" s="50">
        <v>445</v>
      </c>
      <c r="AB2355" s="51">
        <v>0.20812</v>
      </c>
      <c r="AC2355" s="52">
        <f t="shared" si="568"/>
        <v>2.681686182776001</v>
      </c>
    </row>
    <row r="2356" spans="27:29">
      <c r="AA2356" s="50">
        <v>444.9</v>
      </c>
      <c r="AB2356" s="51">
        <v>0.28227000000000002</v>
      </c>
      <c r="AC2356" s="52">
        <f t="shared" si="568"/>
        <v>2.5493352767478479</v>
      </c>
    </row>
    <row r="2357" spans="27:29">
      <c r="AA2357" s="50">
        <v>444.8</v>
      </c>
      <c r="AB2357" s="51">
        <v>0.38456000000000001</v>
      </c>
      <c r="AC2357" s="52">
        <f t="shared" si="568"/>
        <v>2.4150358908794094</v>
      </c>
    </row>
    <row r="2358" spans="27:29">
      <c r="AA2358" s="50">
        <v>444.7</v>
      </c>
      <c r="AB2358" s="51">
        <v>0.52753000000000005</v>
      </c>
      <c r="AC2358" s="52">
        <f t="shared" si="568"/>
        <v>2.2777528375203495</v>
      </c>
    </row>
    <row r="2359" spans="27:29">
      <c r="AA2359" s="50">
        <v>444.6</v>
      </c>
      <c r="AB2359" s="51">
        <v>0.72558999999999996</v>
      </c>
      <c r="AC2359" s="52">
        <f t="shared" si="568"/>
        <v>2.1393087113045568</v>
      </c>
    </row>
    <row r="2360" spans="27:29">
      <c r="AA2360" s="50">
        <v>444.5</v>
      </c>
      <c r="AB2360" s="51">
        <v>0.99378</v>
      </c>
      <c r="AC2360" s="52">
        <f t="shared" si="568"/>
        <v>2.0027097477565556</v>
      </c>
    </row>
    <row r="2361" spans="27:29">
      <c r="AA2361" s="50">
        <v>444.4</v>
      </c>
      <c r="AB2361" s="51">
        <v>1.3653</v>
      </c>
      <c r="AC2361" s="52">
        <f t="shared" si="568"/>
        <v>1.8647719097739446</v>
      </c>
    </row>
    <row r="2362" spans="27:29">
      <c r="AA2362" s="50">
        <v>444.3</v>
      </c>
      <c r="AB2362" s="51">
        <v>1.7947</v>
      </c>
      <c r="AC2362" s="52">
        <f t="shared" si="568"/>
        <v>1.7460081371878289</v>
      </c>
    </row>
    <row r="2363" spans="27:29">
      <c r="AA2363" s="50">
        <v>444.2</v>
      </c>
      <c r="AB2363" s="51">
        <v>2.3915000000000002</v>
      </c>
      <c r="AC2363" s="52">
        <f t="shared" si="568"/>
        <v>1.6213296147920171</v>
      </c>
    </row>
    <row r="2364" spans="27:29">
      <c r="AA2364" s="50">
        <v>444.1</v>
      </c>
      <c r="AB2364" s="51">
        <v>3.1373000000000002</v>
      </c>
      <c r="AC2364" s="52">
        <f t="shared" si="568"/>
        <v>1.5034439505037052</v>
      </c>
    </row>
    <row r="2365" spans="27:29">
      <c r="AA2365" s="50">
        <v>444</v>
      </c>
      <c r="AB2365" s="51">
        <v>4.069</v>
      </c>
      <c r="AC2365" s="52">
        <f t="shared" si="568"/>
        <v>1.3905123101467147</v>
      </c>
    </row>
    <row r="2366" spans="27:29">
      <c r="AA2366" s="50">
        <v>443.9</v>
      </c>
      <c r="AB2366" s="51">
        <v>5.1737000000000002</v>
      </c>
      <c r="AC2366" s="52">
        <f t="shared" si="568"/>
        <v>1.2861987577072065</v>
      </c>
    </row>
    <row r="2367" spans="27:29">
      <c r="AA2367" s="50">
        <v>443.8</v>
      </c>
      <c r="AB2367" s="51">
        <v>6.4954000000000001</v>
      </c>
      <c r="AC2367" s="52">
        <f t="shared" si="568"/>
        <v>1.1873940990261029</v>
      </c>
    </row>
    <row r="2368" spans="27:29">
      <c r="AA2368" s="50">
        <v>443.7</v>
      </c>
      <c r="AB2368" s="51">
        <v>8.0785</v>
      </c>
      <c r="AC2368" s="52">
        <f t="shared" si="568"/>
        <v>1.092669270685602</v>
      </c>
    </row>
    <row r="2369" spans="27:29">
      <c r="AA2369" s="50">
        <v>443.6</v>
      </c>
      <c r="AB2369" s="51">
        <v>9.8780999999999999</v>
      </c>
      <c r="AC2369" s="52">
        <f t="shared" si="568"/>
        <v>1.0053265816135917</v>
      </c>
    </row>
    <row r="2370" spans="27:29">
      <c r="AA2370" s="50">
        <v>443.5</v>
      </c>
      <c r="AB2370" s="51">
        <v>11.792</v>
      </c>
      <c r="AC2370" s="52">
        <f t="shared" si="568"/>
        <v>0.92841252948502373</v>
      </c>
    </row>
    <row r="2371" spans="27:29">
      <c r="AA2371" s="50">
        <v>443.4</v>
      </c>
      <c r="AB2371" s="51">
        <v>13.917</v>
      </c>
      <c r="AC2371" s="52">
        <f t="shared" si="568"/>
        <v>0.85645437276157799</v>
      </c>
    </row>
    <row r="2372" spans="27:29">
      <c r="AA2372" s="50">
        <v>443.3</v>
      </c>
      <c r="AB2372" s="51">
        <v>16.323</v>
      </c>
      <c r="AC2372" s="52">
        <f t="shared" si="568"/>
        <v>0.78720001937443296</v>
      </c>
    </row>
    <row r="2373" spans="27:29">
      <c r="AA2373" s="50">
        <v>443.2</v>
      </c>
      <c r="AB2373" s="51">
        <v>18.849</v>
      </c>
      <c r="AC2373" s="52">
        <f t="shared" si="568"/>
        <v>0.72471168556439836</v>
      </c>
    </row>
    <row r="2374" spans="27:29">
      <c r="AA2374" s="50">
        <v>443.1</v>
      </c>
      <c r="AB2374" s="51">
        <v>21.51</v>
      </c>
      <c r="AC2374" s="52">
        <f t="shared" si="568"/>
        <v>0.66735958961253738</v>
      </c>
    </row>
    <row r="2375" spans="27:29">
      <c r="AA2375" s="50">
        <v>443</v>
      </c>
      <c r="AB2375" s="51">
        <v>24.088000000000001</v>
      </c>
      <c r="AC2375" s="52">
        <f t="shared" si="568"/>
        <v>0.61819925749529703</v>
      </c>
    </row>
    <row r="2376" spans="27:29">
      <c r="AA2376" s="50">
        <v>442.9</v>
      </c>
      <c r="AB2376" s="51">
        <v>26.832999999999998</v>
      </c>
      <c r="AC2376" s="52">
        <f t="shared" si="568"/>
        <v>0.57133076934781146</v>
      </c>
    </row>
    <row r="2377" spans="27:29">
      <c r="AA2377" s="50">
        <v>442.8</v>
      </c>
      <c r="AB2377" s="51">
        <v>29.571000000000002</v>
      </c>
      <c r="AC2377" s="52">
        <f t="shared" si="568"/>
        <v>0.52913398872587525</v>
      </c>
    </row>
    <row r="2378" spans="27:29">
      <c r="AA2378" s="50">
        <v>442.7</v>
      </c>
      <c r="AB2378" s="51">
        <v>32.393999999999998</v>
      </c>
      <c r="AC2378" s="52">
        <f t="shared" ref="AC2378:AC2441" si="569">-LOG(AB2378/100)</f>
        <v>0.48953542214511386</v>
      </c>
    </row>
    <row r="2379" spans="27:29">
      <c r="AA2379" s="50">
        <v>442.6</v>
      </c>
      <c r="AB2379" s="51">
        <v>35.100999999999999</v>
      </c>
      <c r="AC2379" s="52">
        <f t="shared" si="569"/>
        <v>0.45468051064826454</v>
      </c>
    </row>
    <row r="2380" spans="27:29">
      <c r="AA2380" s="50">
        <v>442.5</v>
      </c>
      <c r="AB2380" s="51">
        <v>37.743000000000002</v>
      </c>
      <c r="AC2380" s="52">
        <f t="shared" si="569"/>
        <v>0.42316358292931389</v>
      </c>
    </row>
    <row r="2381" spans="27:29">
      <c r="AA2381" s="50">
        <v>442.4</v>
      </c>
      <c r="AB2381" s="51">
        <v>40.249000000000002</v>
      </c>
      <c r="AC2381" s="52">
        <f t="shared" si="569"/>
        <v>0.39524490535516743</v>
      </c>
    </row>
    <row r="2382" spans="27:29">
      <c r="AA2382" s="50">
        <v>442.3</v>
      </c>
      <c r="AB2382" s="51">
        <v>42.631999999999998</v>
      </c>
      <c r="AC2382" s="52">
        <f t="shared" si="569"/>
        <v>0.37026429276714462</v>
      </c>
    </row>
    <row r="2383" spans="27:29">
      <c r="AA2383" s="50">
        <v>442.2</v>
      </c>
      <c r="AB2383" s="51">
        <v>44.886000000000003</v>
      </c>
      <c r="AC2383" s="52">
        <f t="shared" si="569"/>
        <v>0.34788909487300318</v>
      </c>
    </row>
    <row r="2384" spans="27:29">
      <c r="AA2384" s="50">
        <v>442.1</v>
      </c>
      <c r="AB2384" s="51">
        <v>46.951999999999998</v>
      </c>
      <c r="AC2384" s="52">
        <f t="shared" si="569"/>
        <v>0.32834590349448295</v>
      </c>
    </row>
    <row r="2385" spans="27:29">
      <c r="AA2385" s="50">
        <v>442</v>
      </c>
      <c r="AB2385" s="51">
        <v>48.978000000000002</v>
      </c>
      <c r="AC2385" s="52">
        <f t="shared" si="569"/>
        <v>0.30999895311693626</v>
      </c>
    </row>
    <row r="2386" spans="27:29">
      <c r="AA2386" s="50">
        <v>441.9</v>
      </c>
      <c r="AB2386" s="51">
        <v>50.866999999999997</v>
      </c>
      <c r="AC2386" s="52">
        <f t="shared" si="569"/>
        <v>0.293563875143665</v>
      </c>
    </row>
    <row r="2387" spans="27:29">
      <c r="AA2387" s="50">
        <v>441.8</v>
      </c>
      <c r="AB2387" s="51">
        <v>52.604999999999997</v>
      </c>
      <c r="AC2387" s="52">
        <f t="shared" si="569"/>
        <v>0.27897297506281621</v>
      </c>
    </row>
    <row r="2388" spans="27:29">
      <c r="AA2388" s="50">
        <v>441.7</v>
      </c>
      <c r="AB2388" s="51">
        <v>54.176000000000002</v>
      </c>
      <c r="AC2388" s="52">
        <f t="shared" si="569"/>
        <v>0.26619306357115874</v>
      </c>
    </row>
    <row r="2389" spans="27:29">
      <c r="AA2389" s="50">
        <v>441.6</v>
      </c>
      <c r="AB2389" s="51">
        <v>55.591000000000001</v>
      </c>
      <c r="AC2389" s="52">
        <f t="shared" si="569"/>
        <v>0.25499551357475675</v>
      </c>
    </row>
    <row r="2390" spans="27:29">
      <c r="AA2390" s="50">
        <v>441.5</v>
      </c>
      <c r="AB2390" s="51">
        <v>57.024999999999999</v>
      </c>
      <c r="AC2390" s="52">
        <f t="shared" si="569"/>
        <v>0.24393470605131379</v>
      </c>
    </row>
    <row r="2391" spans="27:29">
      <c r="AA2391" s="50">
        <v>441.4</v>
      </c>
      <c r="AB2391" s="51">
        <v>58.341000000000001</v>
      </c>
      <c r="AC2391" s="52">
        <f t="shared" si="569"/>
        <v>0.23402613108058976</v>
      </c>
    </row>
    <row r="2392" spans="27:29">
      <c r="AA2392" s="50">
        <v>441.3</v>
      </c>
      <c r="AB2392" s="51">
        <v>59.591000000000001</v>
      </c>
      <c r="AC2392" s="52">
        <f t="shared" si="569"/>
        <v>0.22481932659337192</v>
      </c>
    </row>
    <row r="2393" spans="27:29">
      <c r="AA2393" s="50">
        <v>441.2</v>
      </c>
      <c r="AB2393" s="51">
        <v>60.72</v>
      </c>
      <c r="AC2393" s="52">
        <f t="shared" si="569"/>
        <v>0.21666823711257607</v>
      </c>
    </row>
    <row r="2394" spans="27:29">
      <c r="AA2394" s="50">
        <v>441.1</v>
      </c>
      <c r="AB2394" s="51">
        <v>61.792999999999999</v>
      </c>
      <c r="AC2394" s="52">
        <f t="shared" si="569"/>
        <v>0.20906071962895256</v>
      </c>
    </row>
    <row r="2395" spans="27:29">
      <c r="AA2395" s="50">
        <v>441</v>
      </c>
      <c r="AB2395" s="51">
        <v>62.779000000000003</v>
      </c>
      <c r="AC2395" s="52">
        <f t="shared" si="569"/>
        <v>0.20218560641139524</v>
      </c>
    </row>
    <row r="2396" spans="27:29">
      <c r="AA2396" s="50">
        <v>440.9</v>
      </c>
      <c r="AB2396" s="51">
        <v>63.704000000000001</v>
      </c>
      <c r="AC2396" s="52">
        <f t="shared" si="569"/>
        <v>0.19583329728180152</v>
      </c>
    </row>
    <row r="2397" spans="27:29">
      <c r="AA2397" s="50">
        <v>440.8</v>
      </c>
      <c r="AB2397" s="51">
        <v>64.573999999999998</v>
      </c>
      <c r="AC2397" s="52">
        <f t="shared" si="569"/>
        <v>0.18994231063423717</v>
      </c>
    </row>
    <row r="2398" spans="27:29">
      <c r="AA2398" s="50">
        <v>440.7</v>
      </c>
      <c r="AB2398" s="51">
        <v>65.418000000000006</v>
      </c>
      <c r="AC2398" s="52">
        <f t="shared" si="569"/>
        <v>0.18430273753052953</v>
      </c>
    </row>
    <row r="2399" spans="27:29">
      <c r="AA2399" s="50">
        <v>440.6</v>
      </c>
      <c r="AB2399" s="51">
        <v>66.278999999999996</v>
      </c>
      <c r="AC2399" s="52">
        <f t="shared" si="569"/>
        <v>0.17862405272340315</v>
      </c>
    </row>
    <row r="2400" spans="27:29">
      <c r="AA2400" s="50">
        <v>440.5</v>
      </c>
      <c r="AB2400" s="51">
        <v>67.048000000000002</v>
      </c>
      <c r="AC2400" s="52">
        <f t="shared" si="569"/>
        <v>0.1736141723525525</v>
      </c>
    </row>
    <row r="2401" spans="27:29">
      <c r="AA2401" s="50">
        <v>440.4</v>
      </c>
      <c r="AB2401" s="51">
        <v>67.754999999999995</v>
      </c>
      <c r="AC2401" s="52">
        <f t="shared" si="569"/>
        <v>0.16905865038292456</v>
      </c>
    </row>
    <row r="2402" spans="27:29">
      <c r="AA2402" s="50">
        <v>440.3</v>
      </c>
      <c r="AB2402" s="51">
        <v>68.436999999999998</v>
      </c>
      <c r="AC2402" s="52">
        <f t="shared" si="569"/>
        <v>0.16470903641910001</v>
      </c>
    </row>
    <row r="2403" spans="27:29">
      <c r="AA2403" s="50">
        <v>440.2</v>
      </c>
      <c r="AB2403" s="51">
        <v>69.096000000000004</v>
      </c>
      <c r="AC2403" s="52">
        <f t="shared" si="569"/>
        <v>0.16054709341031195</v>
      </c>
    </row>
    <row r="2404" spans="27:29">
      <c r="AA2404" s="50">
        <v>440.1</v>
      </c>
      <c r="AB2404" s="51">
        <v>69.739000000000004</v>
      </c>
      <c r="AC2404" s="52">
        <f t="shared" si="569"/>
        <v>0.15652428434168264</v>
      </c>
    </row>
    <row r="2405" spans="27:29">
      <c r="AA2405" s="50">
        <v>440</v>
      </c>
      <c r="AB2405" s="51">
        <v>70.364999999999995</v>
      </c>
      <c r="AC2405" s="52">
        <f t="shared" si="569"/>
        <v>0.15264330799716039</v>
      </c>
    </row>
    <row r="2406" spans="27:29">
      <c r="AA2406" s="50">
        <v>439.9</v>
      </c>
      <c r="AB2406" s="51">
        <v>70.956000000000003</v>
      </c>
      <c r="AC2406" s="52">
        <f t="shared" si="569"/>
        <v>0.14901087495326948</v>
      </c>
    </row>
    <row r="2407" spans="27:29">
      <c r="AA2407" s="50">
        <v>439.8</v>
      </c>
      <c r="AB2407" s="51">
        <v>71.486000000000004</v>
      </c>
      <c r="AC2407" s="52">
        <f t="shared" si="569"/>
        <v>0.14577900320704706</v>
      </c>
    </row>
    <row r="2408" spans="27:29">
      <c r="AA2408" s="50">
        <v>439.7</v>
      </c>
      <c r="AB2408" s="51">
        <v>71.994</v>
      </c>
      <c r="AC2408" s="52">
        <f t="shared" si="569"/>
        <v>0.14270369628360752</v>
      </c>
    </row>
    <row r="2409" spans="27:29">
      <c r="AA2409" s="50">
        <v>439.6</v>
      </c>
      <c r="AB2409" s="51">
        <v>72.507000000000005</v>
      </c>
      <c r="AC2409" s="52">
        <f t="shared" si="569"/>
        <v>0.13962006357216231</v>
      </c>
    </row>
    <row r="2410" spans="27:29">
      <c r="AA2410" s="50">
        <v>439.5</v>
      </c>
      <c r="AB2410" s="51">
        <v>72.983999999999995</v>
      </c>
      <c r="AC2410" s="52">
        <f t="shared" si="569"/>
        <v>0.13677233814426185</v>
      </c>
    </row>
    <row r="2411" spans="27:29">
      <c r="AA2411" s="50">
        <v>439.4</v>
      </c>
      <c r="AB2411" s="51">
        <v>73.456999999999994</v>
      </c>
      <c r="AC2411" s="52">
        <f t="shared" si="569"/>
        <v>0.13396681231049598</v>
      </c>
    </row>
    <row r="2412" spans="27:29">
      <c r="AA2412" s="50">
        <v>439.3</v>
      </c>
      <c r="AB2412" s="51">
        <v>73.994</v>
      </c>
      <c r="AC2412" s="52">
        <f t="shared" si="569"/>
        <v>0.13080349476275796</v>
      </c>
    </row>
    <row r="2413" spans="27:29">
      <c r="AA2413" s="50">
        <v>439.2</v>
      </c>
      <c r="AB2413" s="51">
        <v>74.436999999999998</v>
      </c>
      <c r="AC2413" s="52">
        <f t="shared" si="569"/>
        <v>0.12821113835830597</v>
      </c>
    </row>
    <row r="2414" spans="27:29">
      <c r="AA2414" s="50">
        <v>439.1</v>
      </c>
      <c r="AB2414" s="51">
        <v>74.843999999999994</v>
      </c>
      <c r="AC2414" s="52">
        <f t="shared" si="569"/>
        <v>0.12584300990124356</v>
      </c>
    </row>
    <row r="2415" spans="27:29">
      <c r="AA2415" s="50">
        <v>439</v>
      </c>
      <c r="AB2415" s="51">
        <v>75.260999999999996</v>
      </c>
      <c r="AC2415" s="52">
        <f t="shared" si="569"/>
        <v>0.12343001546610617</v>
      </c>
    </row>
    <row r="2416" spans="27:29">
      <c r="AA2416" s="50">
        <v>438.9</v>
      </c>
      <c r="AB2416" s="51">
        <v>75.641999999999996</v>
      </c>
      <c r="AC2416" s="52">
        <f t="shared" si="569"/>
        <v>0.12123699678256622</v>
      </c>
    </row>
    <row r="2417" spans="27:29">
      <c r="AA2417" s="50">
        <v>438.8</v>
      </c>
      <c r="AB2417" s="51">
        <v>76.088999999999999</v>
      </c>
      <c r="AC2417" s="52">
        <f t="shared" si="569"/>
        <v>0.11867812357898275</v>
      </c>
    </row>
    <row r="2418" spans="27:29">
      <c r="AA2418" s="50">
        <v>438.7</v>
      </c>
      <c r="AB2418" s="51">
        <v>76.510999999999996</v>
      </c>
      <c r="AC2418" s="52">
        <f t="shared" si="569"/>
        <v>0.11627612176308559</v>
      </c>
    </row>
    <row r="2419" spans="27:29">
      <c r="AA2419" s="50">
        <v>438.6</v>
      </c>
      <c r="AB2419" s="51">
        <v>76.84</v>
      </c>
      <c r="AC2419" s="52">
        <f t="shared" si="569"/>
        <v>0.11441264381034391</v>
      </c>
    </row>
    <row r="2420" spans="27:29">
      <c r="AA2420" s="50">
        <v>438.5</v>
      </c>
      <c r="AB2420" s="51">
        <v>77.171000000000006</v>
      </c>
      <c r="AC2420" s="52">
        <f t="shared" si="569"/>
        <v>0.11254587202336429</v>
      </c>
    </row>
    <row r="2421" spans="27:29">
      <c r="AA2421" s="50">
        <v>438.4</v>
      </c>
      <c r="AB2421" s="51">
        <v>77.52</v>
      </c>
      <c r="AC2421" s="52">
        <f t="shared" si="569"/>
        <v>0.11058623595729108</v>
      </c>
    </row>
    <row r="2422" spans="27:29">
      <c r="AA2422" s="50">
        <v>438.3</v>
      </c>
      <c r="AB2422" s="51">
        <v>77.915999999999997</v>
      </c>
      <c r="AC2422" s="52">
        <f t="shared" si="569"/>
        <v>0.10837335107961923</v>
      </c>
    </row>
    <row r="2423" spans="27:29">
      <c r="AA2423" s="50">
        <v>438.2</v>
      </c>
      <c r="AB2423" s="51">
        <v>78.3</v>
      </c>
      <c r="AC2423" s="52">
        <f t="shared" si="569"/>
        <v>0.10623823794205664</v>
      </c>
    </row>
    <row r="2424" spans="27:29">
      <c r="AA2424" s="50">
        <v>438.1</v>
      </c>
      <c r="AB2424" s="51">
        <v>78.677999999999997</v>
      </c>
      <c r="AC2424" s="52">
        <f t="shared" si="569"/>
        <v>0.10414668840704139</v>
      </c>
    </row>
    <row r="2425" spans="27:29">
      <c r="AA2425" s="50">
        <v>438</v>
      </c>
      <c r="AB2425" s="51">
        <v>79.031999999999996</v>
      </c>
      <c r="AC2425" s="52">
        <f t="shared" si="569"/>
        <v>0.10219702757648624</v>
      </c>
    </row>
    <row r="2426" spans="27:29">
      <c r="AA2426" s="50">
        <v>437.9</v>
      </c>
      <c r="AB2426" s="51">
        <v>79.356999999999999</v>
      </c>
      <c r="AC2426" s="52">
        <f t="shared" si="569"/>
        <v>0.10041475854632236</v>
      </c>
    </row>
    <row r="2427" spans="27:29">
      <c r="AA2427" s="50">
        <v>437.8</v>
      </c>
      <c r="AB2427" s="51">
        <v>79.637</v>
      </c>
      <c r="AC2427" s="52">
        <f t="shared" si="569"/>
        <v>9.8885108614314363E-2</v>
      </c>
    </row>
    <row r="2428" spans="27:29">
      <c r="AA2428" s="50">
        <v>437.7</v>
      </c>
      <c r="AB2428" s="51">
        <v>79.950999999999993</v>
      </c>
      <c r="AC2428" s="52">
        <f t="shared" si="569"/>
        <v>9.7176099875646613E-2</v>
      </c>
    </row>
    <row r="2429" spans="27:29">
      <c r="AA2429" s="50">
        <v>437.6</v>
      </c>
      <c r="AB2429" s="51">
        <v>80.245000000000005</v>
      </c>
      <c r="AC2429" s="52">
        <f t="shared" si="569"/>
        <v>9.5582018612304545E-2</v>
      </c>
    </row>
    <row r="2430" spans="27:29">
      <c r="AA2430" s="50">
        <v>437.5</v>
      </c>
      <c r="AB2430" s="51">
        <v>80.564999999999998</v>
      </c>
      <c r="AC2430" s="52">
        <f t="shared" si="569"/>
        <v>9.3853588568819021E-2</v>
      </c>
    </row>
    <row r="2431" spans="27:29">
      <c r="AA2431" s="50">
        <v>437.4</v>
      </c>
      <c r="AB2431" s="51">
        <v>80.849999999999994</v>
      </c>
      <c r="AC2431" s="52">
        <f t="shared" si="569"/>
        <v>9.2319975757580053E-2</v>
      </c>
    </row>
    <row r="2432" spans="27:29">
      <c r="AA2432" s="50">
        <v>437.3</v>
      </c>
      <c r="AB2432" s="51">
        <v>81.14</v>
      </c>
      <c r="AC2432" s="52">
        <f t="shared" si="569"/>
        <v>9.0764996631692615E-2</v>
      </c>
    </row>
    <row r="2433" spans="27:29">
      <c r="AA2433" s="50">
        <v>437.2</v>
      </c>
      <c r="AB2433" s="51">
        <v>81.405000000000001</v>
      </c>
      <c r="AC2433" s="52">
        <f t="shared" si="569"/>
        <v>8.9348919364842544E-2</v>
      </c>
    </row>
    <row r="2434" spans="27:29">
      <c r="AA2434" s="50">
        <v>437.1</v>
      </c>
      <c r="AB2434" s="51">
        <v>81.637</v>
      </c>
      <c r="AC2434" s="52">
        <f t="shared" si="569"/>
        <v>8.8112963135102612E-2</v>
      </c>
    </row>
    <row r="2435" spans="27:29">
      <c r="AA2435" s="50">
        <v>437</v>
      </c>
      <c r="AB2435" s="51">
        <v>81.846999999999994</v>
      </c>
      <c r="AC2435" s="52">
        <f t="shared" si="569"/>
        <v>8.6997234484455246E-2</v>
      </c>
    </row>
    <row r="2436" spans="27:29">
      <c r="AA2436" s="50">
        <v>436.9</v>
      </c>
      <c r="AB2436" s="51">
        <v>82.158000000000001</v>
      </c>
      <c r="AC2436" s="52">
        <f t="shared" si="569"/>
        <v>8.5350141459657219E-2</v>
      </c>
    </row>
    <row r="2437" spans="27:29">
      <c r="AA2437" s="50">
        <v>436.8</v>
      </c>
      <c r="AB2437" s="51">
        <v>82.382000000000005</v>
      </c>
      <c r="AC2437" s="52">
        <f t="shared" si="569"/>
        <v>8.416766882023867E-2</v>
      </c>
    </row>
    <row r="2438" spans="27:29">
      <c r="AA2438" s="50">
        <v>436.7</v>
      </c>
      <c r="AB2438" s="51">
        <v>82.665000000000006</v>
      </c>
      <c r="AC2438" s="52">
        <f t="shared" si="569"/>
        <v>8.2678329918847937E-2</v>
      </c>
    </row>
    <row r="2439" spans="27:29">
      <c r="AA2439" s="50">
        <v>436.6</v>
      </c>
      <c r="AB2439" s="51">
        <v>82.765000000000001</v>
      </c>
      <c r="AC2439" s="52">
        <f t="shared" si="569"/>
        <v>8.2153280611224608E-2</v>
      </c>
    </row>
    <row r="2440" spans="27:29">
      <c r="AA2440" s="50">
        <v>436.5</v>
      </c>
      <c r="AB2440" s="51">
        <v>83.009</v>
      </c>
      <c r="AC2440" s="52">
        <f t="shared" si="569"/>
        <v>8.0874818004195131E-2</v>
      </c>
    </row>
    <row r="2441" spans="27:29">
      <c r="AA2441" s="50">
        <v>436.4</v>
      </c>
      <c r="AB2441" s="51">
        <v>83.194999999999993</v>
      </c>
      <c r="AC2441" s="52">
        <f t="shared" si="569"/>
        <v>7.9902773921544115E-2</v>
      </c>
    </row>
    <row r="2442" spans="27:29">
      <c r="AA2442" s="50">
        <v>436.3</v>
      </c>
      <c r="AB2442" s="51">
        <v>83.337000000000003</v>
      </c>
      <c r="AC2442" s="52">
        <f t="shared" ref="AC2442:AC2505" si="570">-LOG(AB2442/100)</f>
        <v>7.916213751080578E-2</v>
      </c>
    </row>
    <row r="2443" spans="27:29">
      <c r="AA2443" s="50">
        <v>436.2</v>
      </c>
      <c r="AB2443" s="51">
        <v>83.494</v>
      </c>
      <c r="AC2443" s="52">
        <f t="shared" si="570"/>
        <v>7.8344732426772423E-2</v>
      </c>
    </row>
    <row r="2444" spans="27:29">
      <c r="AA2444" s="50">
        <v>436.1</v>
      </c>
      <c r="AB2444" s="51">
        <v>83.701999999999998</v>
      </c>
      <c r="AC2444" s="52">
        <f t="shared" si="570"/>
        <v>7.7264164723746406E-2</v>
      </c>
    </row>
    <row r="2445" spans="27:29">
      <c r="AA2445" s="50">
        <v>436</v>
      </c>
      <c r="AB2445" s="51">
        <v>83.882999999999996</v>
      </c>
      <c r="AC2445" s="52">
        <f t="shared" si="570"/>
        <v>7.6326045777661763E-2</v>
      </c>
    </row>
    <row r="2446" spans="27:29">
      <c r="AA2446" s="50">
        <v>435.9</v>
      </c>
      <c r="AB2446" s="51">
        <v>84.024000000000001</v>
      </c>
      <c r="AC2446" s="52">
        <f t="shared" si="570"/>
        <v>7.5596647523361371E-2</v>
      </c>
    </row>
    <row r="2447" spans="27:29">
      <c r="AA2447" s="50">
        <v>435.8</v>
      </c>
      <c r="AB2447" s="51">
        <v>84.081999999999994</v>
      </c>
      <c r="AC2447" s="52">
        <f t="shared" si="570"/>
        <v>7.5296966596447648E-2</v>
      </c>
    </row>
    <row r="2448" spans="27:29">
      <c r="AA2448" s="50">
        <v>435.7</v>
      </c>
      <c r="AB2448" s="51">
        <v>84.162000000000006</v>
      </c>
      <c r="AC2448" s="52">
        <f t="shared" si="570"/>
        <v>7.4883952626608907E-2</v>
      </c>
    </row>
    <row r="2449" spans="27:29">
      <c r="AA2449" s="50">
        <v>435.6</v>
      </c>
      <c r="AB2449" s="51">
        <v>84.254999999999995</v>
      </c>
      <c r="AC2449" s="52">
        <f t="shared" si="570"/>
        <v>7.4404317068176545E-2</v>
      </c>
    </row>
    <row r="2450" spans="27:29">
      <c r="AA2450" s="50">
        <v>435.5</v>
      </c>
      <c r="AB2450" s="51">
        <v>84.441000000000003</v>
      </c>
      <c r="AC2450" s="52">
        <f t="shared" si="570"/>
        <v>7.3446632163169628E-2</v>
      </c>
    </row>
    <row r="2451" spans="27:29">
      <c r="AA2451" s="50">
        <v>435.4</v>
      </c>
      <c r="AB2451" s="51">
        <v>84.57</v>
      </c>
      <c r="AC2451" s="52">
        <f t="shared" si="570"/>
        <v>7.2783669408735291E-2</v>
      </c>
    </row>
    <row r="2452" spans="27:29">
      <c r="AA2452" s="50">
        <v>435.3</v>
      </c>
      <c r="AB2452" s="51">
        <v>84.641999999999996</v>
      </c>
      <c r="AC2452" s="52">
        <f t="shared" si="570"/>
        <v>7.241408327318756E-2</v>
      </c>
    </row>
    <row r="2453" spans="27:29">
      <c r="AA2453" s="50">
        <v>435.2</v>
      </c>
      <c r="AB2453" s="51">
        <v>84.683999999999997</v>
      </c>
      <c r="AC2453" s="52">
        <f t="shared" si="570"/>
        <v>7.2198636518241308E-2</v>
      </c>
    </row>
    <row r="2454" spans="27:29">
      <c r="AA2454" s="50">
        <v>435.1</v>
      </c>
      <c r="AB2454" s="51">
        <v>84.745000000000005</v>
      </c>
      <c r="AC2454" s="52">
        <f t="shared" si="570"/>
        <v>7.1885915974051529E-2</v>
      </c>
    </row>
    <row r="2455" spans="27:29">
      <c r="AA2455" s="50">
        <v>435</v>
      </c>
      <c r="AB2455" s="51">
        <v>84.784999999999997</v>
      </c>
      <c r="AC2455" s="52">
        <f t="shared" si="570"/>
        <v>7.1680975496277749E-2</v>
      </c>
    </row>
    <row r="2456" spans="27:29">
      <c r="AA2456" s="50">
        <v>434.9</v>
      </c>
      <c r="AB2456" s="51">
        <v>84.882000000000005</v>
      </c>
      <c r="AC2456" s="52">
        <f t="shared" si="570"/>
        <v>7.118439608679554E-2</v>
      </c>
    </row>
    <row r="2457" spans="27:29">
      <c r="AA2457" s="50">
        <v>434.8</v>
      </c>
      <c r="AB2457" s="51">
        <v>84.911000000000001</v>
      </c>
      <c r="AC2457" s="52">
        <f t="shared" si="570"/>
        <v>7.1036044386811895E-2</v>
      </c>
    </row>
    <row r="2458" spans="27:29">
      <c r="AA2458" s="50">
        <v>434.7</v>
      </c>
      <c r="AB2458" s="51">
        <v>84.981999999999999</v>
      </c>
      <c r="AC2458" s="52">
        <f t="shared" si="570"/>
        <v>7.0673052268122788E-2</v>
      </c>
    </row>
    <row r="2459" spans="27:29">
      <c r="AA2459" s="50">
        <v>434.6</v>
      </c>
      <c r="AB2459" s="51">
        <v>84.992000000000004</v>
      </c>
      <c r="AC2459" s="52">
        <f t="shared" si="570"/>
        <v>7.062195098411414E-2</v>
      </c>
    </row>
    <row r="2460" spans="27:29">
      <c r="AA2460" s="50">
        <v>434.5</v>
      </c>
      <c r="AB2460" s="51">
        <v>84.998999999999995</v>
      </c>
      <c r="AC2460" s="52">
        <f t="shared" si="570"/>
        <v>7.0586183662608451E-2</v>
      </c>
    </row>
    <row r="2461" spans="27:29">
      <c r="AA2461" s="50">
        <v>434.4</v>
      </c>
      <c r="AB2461" s="51">
        <v>85.043999999999997</v>
      </c>
      <c r="AC2461" s="52">
        <f t="shared" si="570"/>
        <v>7.035632119085862E-2</v>
      </c>
    </row>
    <row r="2462" spans="27:29">
      <c r="AA2462" s="50">
        <v>434.3</v>
      </c>
      <c r="AB2462" s="51">
        <v>85.057000000000002</v>
      </c>
      <c r="AC2462" s="52">
        <f t="shared" si="570"/>
        <v>7.0289939120491751E-2</v>
      </c>
    </row>
    <row r="2463" spans="27:29">
      <c r="AA2463" s="50">
        <v>434.2</v>
      </c>
      <c r="AB2463" s="51">
        <v>85.132000000000005</v>
      </c>
      <c r="AC2463" s="52">
        <f t="shared" si="570"/>
        <v>6.9907163638512362E-2</v>
      </c>
    </row>
    <row r="2464" spans="27:29">
      <c r="AA2464" s="50">
        <v>434.1</v>
      </c>
      <c r="AB2464" s="51">
        <v>85.134</v>
      </c>
      <c r="AC2464" s="52">
        <f t="shared" si="570"/>
        <v>6.9896960909090838E-2</v>
      </c>
    </row>
    <row r="2465" spans="27:29">
      <c r="AA2465" s="50">
        <v>434</v>
      </c>
      <c r="AB2465" s="51">
        <v>85.146000000000001</v>
      </c>
      <c r="AC2465" s="52">
        <f t="shared" si="570"/>
        <v>6.9835749565521812E-2</v>
      </c>
    </row>
    <row r="2466" spans="27:29">
      <c r="AA2466" s="50">
        <v>433.9</v>
      </c>
      <c r="AB2466" s="51">
        <v>85.155000000000001</v>
      </c>
      <c r="AC2466" s="52">
        <f t="shared" si="570"/>
        <v>6.9789846718905882E-2</v>
      </c>
    </row>
    <row r="2467" spans="27:29">
      <c r="AA2467" s="50">
        <v>433.8</v>
      </c>
      <c r="AB2467" s="51">
        <v>85.116</v>
      </c>
      <c r="AC2467" s="52">
        <f t="shared" si="570"/>
        <v>6.9988794103844246E-2</v>
      </c>
    </row>
    <row r="2468" spans="27:29">
      <c r="AA2468" s="50">
        <v>433.7</v>
      </c>
      <c r="AB2468" s="51">
        <v>85.132000000000005</v>
      </c>
      <c r="AC2468" s="52">
        <f t="shared" si="570"/>
        <v>6.9907163638512362E-2</v>
      </c>
    </row>
    <row r="2469" spans="27:29">
      <c r="AA2469" s="50">
        <v>433.6</v>
      </c>
      <c r="AB2469" s="51">
        <v>85.183999999999997</v>
      </c>
      <c r="AC2469" s="52">
        <f t="shared" si="570"/>
        <v>6.9641970541437739E-2</v>
      </c>
    </row>
    <row r="2470" spans="27:29">
      <c r="AA2470" s="50">
        <v>433.5</v>
      </c>
      <c r="AB2470" s="51">
        <v>85.225999999999999</v>
      </c>
      <c r="AC2470" s="52">
        <f t="shared" si="570"/>
        <v>6.9427894271156948E-2</v>
      </c>
    </row>
    <row r="2471" spans="27:29">
      <c r="AA2471" s="50">
        <v>433.4</v>
      </c>
      <c r="AB2471" s="51">
        <v>85.194999999999993</v>
      </c>
      <c r="AC2471" s="52">
        <f t="shared" si="570"/>
        <v>6.9585892746550165E-2</v>
      </c>
    </row>
    <row r="2472" spans="27:29">
      <c r="AA2472" s="50">
        <v>433.3</v>
      </c>
      <c r="AB2472" s="51">
        <v>85.234999999999999</v>
      </c>
      <c r="AC2472" s="52">
        <f t="shared" si="570"/>
        <v>6.9382034510381663E-2</v>
      </c>
    </row>
    <row r="2473" spans="27:29">
      <c r="AA2473" s="50">
        <v>433.2</v>
      </c>
      <c r="AB2473" s="51">
        <v>85.227000000000004</v>
      </c>
      <c r="AC2473" s="52">
        <f t="shared" si="570"/>
        <v>6.9422798503034219E-2</v>
      </c>
    </row>
    <row r="2474" spans="27:29">
      <c r="AA2474" s="50">
        <v>433.1</v>
      </c>
      <c r="AB2474" s="51">
        <v>85.248999999999995</v>
      </c>
      <c r="AC2474" s="52">
        <f t="shared" si="570"/>
        <v>6.9310706728767962E-2</v>
      </c>
    </row>
    <row r="2475" spans="27:29">
      <c r="AA2475" s="50">
        <v>433</v>
      </c>
      <c r="AB2475" s="51">
        <v>85.304000000000002</v>
      </c>
      <c r="AC2475" s="52">
        <f t="shared" si="570"/>
        <v>6.9030603800848966E-2</v>
      </c>
    </row>
    <row r="2476" spans="27:29">
      <c r="AA2476" s="50">
        <v>432.9</v>
      </c>
      <c r="AB2476" s="51">
        <v>85.370999999999995</v>
      </c>
      <c r="AC2476" s="52">
        <f t="shared" si="570"/>
        <v>6.8689631405569121E-2</v>
      </c>
    </row>
    <row r="2477" spans="27:29">
      <c r="AA2477" s="50">
        <v>432.8</v>
      </c>
      <c r="AB2477" s="51">
        <v>85.387</v>
      </c>
      <c r="AC2477" s="52">
        <f t="shared" si="570"/>
        <v>6.8608244744554236E-2</v>
      </c>
    </row>
    <row r="2478" spans="27:29">
      <c r="AA2478" s="50">
        <v>432.7</v>
      </c>
      <c r="AB2478" s="51">
        <v>85.44</v>
      </c>
      <c r="AC2478" s="52">
        <f t="shared" si="570"/>
        <v>6.8338760315518832E-2</v>
      </c>
    </row>
    <row r="2479" spans="27:29">
      <c r="AA2479" s="50">
        <v>432.6</v>
      </c>
      <c r="AB2479" s="51">
        <v>85.453999999999994</v>
      </c>
      <c r="AC2479" s="52">
        <f t="shared" si="570"/>
        <v>6.8267603659811216E-2</v>
      </c>
    </row>
    <row r="2480" spans="27:29">
      <c r="AA2480" s="50">
        <v>432.5</v>
      </c>
      <c r="AB2480" s="51">
        <v>85.489000000000004</v>
      </c>
      <c r="AC2480" s="52">
        <f t="shared" si="570"/>
        <v>6.808976301024941E-2</v>
      </c>
    </row>
    <row r="2481" spans="27:29">
      <c r="AA2481" s="50">
        <v>432.4</v>
      </c>
      <c r="AB2481" s="51">
        <v>85.548000000000002</v>
      </c>
      <c r="AC2481" s="52">
        <f t="shared" si="570"/>
        <v>6.7790139239385441E-2</v>
      </c>
    </row>
    <row r="2482" spans="27:29">
      <c r="AA2482" s="50">
        <v>432.3</v>
      </c>
      <c r="AB2482" s="51">
        <v>85.599000000000004</v>
      </c>
      <c r="AC2482" s="52">
        <f t="shared" si="570"/>
        <v>6.7531308886149208E-2</v>
      </c>
    </row>
    <row r="2483" spans="27:29">
      <c r="AA2483" s="50">
        <v>432.2</v>
      </c>
      <c r="AB2483" s="51">
        <v>85.650999999999996</v>
      </c>
      <c r="AC2483" s="52">
        <f t="shared" si="570"/>
        <v>6.7267562156186567E-2</v>
      </c>
    </row>
    <row r="2484" spans="27:29">
      <c r="AA2484" s="50">
        <v>432.1</v>
      </c>
      <c r="AB2484" s="51">
        <v>85.766000000000005</v>
      </c>
      <c r="AC2484" s="52">
        <f t="shared" si="570"/>
        <v>6.6684844305427773E-2</v>
      </c>
    </row>
    <row r="2485" spans="27:29">
      <c r="AA2485" s="50">
        <v>432</v>
      </c>
      <c r="AB2485" s="51">
        <v>85.778999999999996</v>
      </c>
      <c r="AC2485" s="52">
        <f t="shared" si="570"/>
        <v>6.6619021013865284E-2</v>
      </c>
    </row>
    <row r="2486" spans="27:29">
      <c r="AA2486" s="50">
        <v>431.9</v>
      </c>
      <c r="AB2486" s="51">
        <v>85.802000000000007</v>
      </c>
      <c r="AC2486" s="52">
        <f t="shared" si="570"/>
        <v>6.6502588854784606E-2</v>
      </c>
    </row>
    <row r="2487" spans="27:29">
      <c r="AA2487" s="50">
        <v>431.8</v>
      </c>
      <c r="AB2487" s="51">
        <v>85.866</v>
      </c>
      <c r="AC2487" s="52">
        <f t="shared" si="570"/>
        <v>6.6178767896545088E-2</v>
      </c>
    </row>
    <row r="2488" spans="27:29">
      <c r="AA2488" s="50">
        <v>431.7</v>
      </c>
      <c r="AB2488" s="51">
        <v>85.938999999999993</v>
      </c>
      <c r="AC2488" s="52">
        <f t="shared" si="570"/>
        <v>6.5809704143023909E-2</v>
      </c>
    </row>
    <row r="2489" spans="27:29">
      <c r="AA2489" s="50">
        <v>431.6</v>
      </c>
      <c r="AB2489" s="51">
        <v>85.977000000000004</v>
      </c>
      <c r="AC2489" s="52">
        <f t="shared" si="570"/>
        <v>6.561771281492064E-2</v>
      </c>
    </row>
    <row r="2490" spans="27:29">
      <c r="AA2490" s="50">
        <v>431.5</v>
      </c>
      <c r="AB2490" s="51">
        <v>86.072999999999993</v>
      </c>
      <c r="AC2490" s="52">
        <f t="shared" si="570"/>
        <v>6.5133059811845806E-2</v>
      </c>
    </row>
    <row r="2491" spans="27:29">
      <c r="AA2491" s="50">
        <v>431.4</v>
      </c>
      <c r="AB2491" s="51">
        <v>86.075000000000003</v>
      </c>
      <c r="AC2491" s="52">
        <f t="shared" si="570"/>
        <v>6.5122968623288854E-2</v>
      </c>
    </row>
    <row r="2492" spans="27:29">
      <c r="AA2492" s="50">
        <v>431.3</v>
      </c>
      <c r="AB2492" s="51">
        <v>86.084999999999994</v>
      </c>
      <c r="AC2492" s="52">
        <f t="shared" si="570"/>
        <v>6.5072516197360514E-2</v>
      </c>
    </row>
    <row r="2493" spans="27:29">
      <c r="AA2493" s="50">
        <v>431.2</v>
      </c>
      <c r="AB2493" s="51">
        <v>86.114000000000004</v>
      </c>
      <c r="AC2493" s="52">
        <f t="shared" si="570"/>
        <v>6.4926237298014208E-2</v>
      </c>
    </row>
    <row r="2494" spans="27:29">
      <c r="AA2494" s="50">
        <v>431.1</v>
      </c>
      <c r="AB2494" s="51">
        <v>86.17</v>
      </c>
      <c r="AC2494" s="52">
        <f t="shared" si="570"/>
        <v>6.4643907054426852E-2</v>
      </c>
    </row>
    <row r="2495" spans="27:29">
      <c r="AA2495" s="50">
        <v>431</v>
      </c>
      <c r="AB2495" s="51">
        <v>86.221000000000004</v>
      </c>
      <c r="AC2495" s="52">
        <f t="shared" si="570"/>
        <v>6.4386944460982504E-2</v>
      </c>
    </row>
    <row r="2496" spans="27:29">
      <c r="AA2496" s="50">
        <v>430.9</v>
      </c>
      <c r="AB2496" s="51">
        <v>86.298000000000002</v>
      </c>
      <c r="AC2496" s="52">
        <f t="shared" si="570"/>
        <v>6.3999269163454664E-2</v>
      </c>
    </row>
    <row r="2497" spans="27:29">
      <c r="AA2497" s="50">
        <v>430.8</v>
      </c>
      <c r="AB2497" s="51">
        <v>86.316999999999993</v>
      </c>
      <c r="AC2497" s="52">
        <f t="shared" si="570"/>
        <v>6.3903662232545039E-2</v>
      </c>
    </row>
    <row r="2498" spans="27:29">
      <c r="AA2498" s="50">
        <v>430.7</v>
      </c>
      <c r="AB2498" s="51">
        <v>86.337000000000003</v>
      </c>
      <c r="AC2498" s="52">
        <f t="shared" si="570"/>
        <v>6.3803046090701532E-2</v>
      </c>
    </row>
    <row r="2499" spans="27:29">
      <c r="AA2499" s="50">
        <v>430.6</v>
      </c>
      <c r="AB2499" s="51">
        <v>86.331999999999994</v>
      </c>
      <c r="AC2499" s="52">
        <f t="shared" si="570"/>
        <v>6.3828197940890355E-2</v>
      </c>
    </row>
    <row r="2500" spans="27:29">
      <c r="AA2500" s="50">
        <v>430.5</v>
      </c>
      <c r="AB2500" s="51">
        <v>86.234999999999999</v>
      </c>
      <c r="AC2500" s="52">
        <f t="shared" si="570"/>
        <v>6.4316432298343926E-2</v>
      </c>
    </row>
    <row r="2501" spans="27:29">
      <c r="AA2501" s="50">
        <v>430.4</v>
      </c>
      <c r="AB2501" s="51">
        <v>86.313000000000002</v>
      </c>
      <c r="AC2501" s="52">
        <f t="shared" si="570"/>
        <v>6.392378825847235E-2</v>
      </c>
    </row>
    <row r="2502" spans="27:29">
      <c r="AA2502" s="50">
        <v>430.3</v>
      </c>
      <c r="AB2502" s="51">
        <v>86.251000000000005</v>
      </c>
      <c r="AC2502" s="52">
        <f t="shared" si="570"/>
        <v>6.4235860985537269E-2</v>
      </c>
    </row>
    <row r="2503" spans="27:29">
      <c r="AA2503" s="50">
        <v>430.2</v>
      </c>
      <c r="AB2503" s="51">
        <v>86.292000000000002</v>
      </c>
      <c r="AC2503" s="52">
        <f t="shared" si="570"/>
        <v>6.4029465199058888E-2</v>
      </c>
    </row>
    <row r="2504" spans="27:29">
      <c r="AA2504" s="50">
        <v>430.1</v>
      </c>
      <c r="AB2504" s="51">
        <v>86.224000000000004</v>
      </c>
      <c r="AC2504" s="52">
        <f t="shared" si="570"/>
        <v>6.4371833748049792E-2</v>
      </c>
    </row>
    <row r="2505" spans="27:29">
      <c r="AA2505" s="50">
        <v>430</v>
      </c>
      <c r="AB2505" s="51">
        <v>86.144999999999996</v>
      </c>
      <c r="AC2505" s="52">
        <f t="shared" si="570"/>
        <v>6.4769924663152317E-2</v>
      </c>
    </row>
    <row r="2506" spans="27:29">
      <c r="AA2506" s="50">
        <v>429.9</v>
      </c>
      <c r="AB2506" s="51">
        <v>86.061000000000007</v>
      </c>
      <c r="AC2506" s="52">
        <f t="shared" ref="AC2506:AC2569" si="571">-LOG(AB2506/100)</f>
        <v>6.5193611867700813E-2</v>
      </c>
    </row>
    <row r="2507" spans="27:29">
      <c r="AA2507" s="50">
        <v>429.8</v>
      </c>
      <c r="AB2507" s="51">
        <v>85.975999999999999</v>
      </c>
      <c r="AC2507" s="52">
        <f t="shared" si="571"/>
        <v>6.5622764131058317E-2</v>
      </c>
    </row>
    <row r="2508" spans="27:29">
      <c r="AA2508" s="50">
        <v>429.7</v>
      </c>
      <c r="AB2508" s="51">
        <v>85.933000000000007</v>
      </c>
      <c r="AC2508" s="52">
        <f t="shared" si="571"/>
        <v>6.5840026323396181E-2</v>
      </c>
    </row>
    <row r="2509" spans="27:29">
      <c r="AA2509" s="50">
        <v>429.6</v>
      </c>
      <c r="AB2509" s="51">
        <v>85.84</v>
      </c>
      <c r="AC2509" s="52">
        <f t="shared" si="571"/>
        <v>6.6310291042105299E-2</v>
      </c>
    </row>
    <row r="2510" spans="27:29">
      <c r="AA2510" s="50">
        <v>429.5</v>
      </c>
      <c r="AB2510" s="51">
        <v>85.771000000000001</v>
      </c>
      <c r="AC2510" s="52">
        <f t="shared" si="571"/>
        <v>6.6659526474171227E-2</v>
      </c>
    </row>
    <row r="2511" spans="27:29">
      <c r="AA2511" s="50">
        <v>429.4</v>
      </c>
      <c r="AB2511" s="51">
        <v>85.643000000000001</v>
      </c>
      <c r="AC2511" s="52">
        <f t="shared" si="571"/>
        <v>6.7308128152167163E-2</v>
      </c>
    </row>
    <row r="2512" spans="27:29">
      <c r="AA2512" s="50">
        <v>429.3</v>
      </c>
      <c r="AB2512" s="51">
        <v>85.492000000000004</v>
      </c>
      <c r="AC2512" s="52">
        <f t="shared" si="571"/>
        <v>6.8074522914030045E-2</v>
      </c>
    </row>
    <row r="2513" spans="27:29">
      <c r="AA2513" s="50">
        <v>429.2</v>
      </c>
      <c r="AB2513" s="51">
        <v>85.36</v>
      </c>
      <c r="AC2513" s="52">
        <f t="shared" si="571"/>
        <v>6.8745593583586506E-2</v>
      </c>
    </row>
    <row r="2514" spans="27:29">
      <c r="AA2514" s="50">
        <v>429.1</v>
      </c>
      <c r="AB2514" s="51">
        <v>85.233000000000004</v>
      </c>
      <c r="AC2514" s="52">
        <f t="shared" si="571"/>
        <v>6.9392225149842932E-2</v>
      </c>
    </row>
    <row r="2515" spans="27:29">
      <c r="AA2515" s="50">
        <v>429</v>
      </c>
      <c r="AB2515" s="51">
        <v>85.126000000000005</v>
      </c>
      <c r="AC2515" s="52">
        <f t="shared" si="571"/>
        <v>6.993777326499101E-2</v>
      </c>
    </row>
    <row r="2516" spans="27:29">
      <c r="AA2516" s="50">
        <v>428.9</v>
      </c>
      <c r="AB2516" s="51">
        <v>84.986999999999995</v>
      </c>
      <c r="AC2516" s="52">
        <f t="shared" si="571"/>
        <v>7.0647500874514102E-2</v>
      </c>
    </row>
    <row r="2517" spans="27:29">
      <c r="AA2517" s="50">
        <v>428.8</v>
      </c>
      <c r="AB2517" s="51">
        <v>84.856999999999999</v>
      </c>
      <c r="AC2517" s="52">
        <f t="shared" si="571"/>
        <v>7.1312326169170118E-2</v>
      </c>
    </row>
    <row r="2518" spans="27:29">
      <c r="AA2518" s="50">
        <v>428.7</v>
      </c>
      <c r="AB2518" s="51">
        <v>84.688999999999993</v>
      </c>
      <c r="AC2518" s="52">
        <f t="shared" si="571"/>
        <v>7.2172995212836696E-2</v>
      </c>
    </row>
    <row r="2519" spans="27:29">
      <c r="AA2519" s="50">
        <v>428.6</v>
      </c>
      <c r="AB2519" s="51">
        <v>84.471000000000004</v>
      </c>
      <c r="AC2519" s="52">
        <f t="shared" si="571"/>
        <v>7.3292364442769709E-2</v>
      </c>
    </row>
    <row r="2520" spans="27:29">
      <c r="AA2520" s="50">
        <v>428.5</v>
      </c>
      <c r="AB2520" s="51">
        <v>84.281000000000006</v>
      </c>
      <c r="AC2520" s="52">
        <f t="shared" si="571"/>
        <v>7.427032009875674E-2</v>
      </c>
    </row>
    <row r="2521" spans="27:29">
      <c r="AA2521" s="50">
        <v>428.4</v>
      </c>
      <c r="AB2521" s="51">
        <v>84.113</v>
      </c>
      <c r="AC2521" s="52">
        <f t="shared" si="571"/>
        <v>7.5136877068323088E-2</v>
      </c>
    </row>
    <row r="2522" spans="27:29">
      <c r="AA2522" s="50">
        <v>428.3</v>
      </c>
      <c r="AB2522" s="51">
        <v>83.933999999999997</v>
      </c>
      <c r="AC2522" s="52">
        <f t="shared" si="571"/>
        <v>7.6062079442201877E-2</v>
      </c>
    </row>
    <row r="2523" spans="27:29">
      <c r="AA2523" s="50">
        <v>428.2</v>
      </c>
      <c r="AB2523" s="51">
        <v>83.769000000000005</v>
      </c>
      <c r="AC2523" s="52">
        <f t="shared" si="571"/>
        <v>7.6916668956241149E-2</v>
      </c>
    </row>
    <row r="2524" spans="27:29">
      <c r="AA2524" s="50">
        <v>428.1</v>
      </c>
      <c r="AB2524" s="51">
        <v>83.51</v>
      </c>
      <c r="AC2524" s="52">
        <f t="shared" si="571"/>
        <v>7.8261516315401264E-2</v>
      </c>
    </row>
    <row r="2525" spans="27:29">
      <c r="AA2525" s="50">
        <v>428</v>
      </c>
      <c r="AB2525" s="51">
        <v>83.251000000000005</v>
      </c>
      <c r="AC2525" s="52">
        <f t="shared" si="571"/>
        <v>7.9610541102440688E-2</v>
      </c>
    </row>
    <row r="2526" spans="27:29">
      <c r="AA2526" s="50">
        <v>427.9</v>
      </c>
      <c r="AB2526" s="51">
        <v>82.991</v>
      </c>
      <c r="AC2526" s="52">
        <f t="shared" si="571"/>
        <v>8.0969002350037247E-2</v>
      </c>
    </row>
    <row r="2527" spans="27:29">
      <c r="AA2527" s="50">
        <v>427.8</v>
      </c>
      <c r="AB2527" s="51">
        <v>82.695999999999998</v>
      </c>
      <c r="AC2527" s="52">
        <f t="shared" si="571"/>
        <v>8.251549673452134E-2</v>
      </c>
    </row>
    <row r="2528" spans="27:29">
      <c r="AA2528" s="50">
        <v>427.7</v>
      </c>
      <c r="AB2528" s="51">
        <v>82.47</v>
      </c>
      <c r="AC2528" s="52">
        <f t="shared" si="571"/>
        <v>8.3704005436869108E-2</v>
      </c>
    </row>
    <row r="2529" spans="27:29">
      <c r="AA2529" s="50">
        <v>427.6</v>
      </c>
      <c r="AB2529" s="51">
        <v>82.204999999999998</v>
      </c>
      <c r="AC2529" s="52">
        <f t="shared" si="571"/>
        <v>8.5101766324063424E-2</v>
      </c>
    </row>
    <row r="2530" spans="27:29">
      <c r="AA2530" s="50">
        <v>427.5</v>
      </c>
      <c r="AB2530" s="51">
        <v>81.911000000000001</v>
      </c>
      <c r="AC2530" s="52">
        <f t="shared" si="571"/>
        <v>8.6657772006201395E-2</v>
      </c>
    </row>
    <row r="2531" spans="27:29">
      <c r="AA2531" s="50">
        <v>427.4</v>
      </c>
      <c r="AB2531" s="51">
        <v>81.572000000000003</v>
      </c>
      <c r="AC2531" s="52">
        <f t="shared" si="571"/>
        <v>8.845888943593426E-2</v>
      </c>
    </row>
    <row r="2532" spans="27:29">
      <c r="AA2532" s="50">
        <v>427.3</v>
      </c>
      <c r="AB2532" s="51">
        <v>81.161000000000001</v>
      </c>
      <c r="AC2532" s="52">
        <f t="shared" si="571"/>
        <v>9.0652610581441959E-2</v>
      </c>
    </row>
    <row r="2533" spans="27:29">
      <c r="AA2533" s="50">
        <v>427.2</v>
      </c>
      <c r="AB2533" s="51">
        <v>80.769000000000005</v>
      </c>
      <c r="AC2533" s="52">
        <f t="shared" si="571"/>
        <v>9.2755294080048192E-2</v>
      </c>
    </row>
    <row r="2534" spans="27:29">
      <c r="AA2534" s="50">
        <v>427.1</v>
      </c>
      <c r="AB2534" s="51">
        <v>80.426000000000002</v>
      </c>
      <c r="AC2534" s="52">
        <f t="shared" si="571"/>
        <v>9.4603530466005906E-2</v>
      </c>
    </row>
    <row r="2535" spans="27:29">
      <c r="AA2535" s="50">
        <v>427</v>
      </c>
      <c r="AB2535" s="51">
        <v>80.072000000000003</v>
      </c>
      <c r="AC2535" s="52">
        <f t="shared" si="571"/>
        <v>9.6519323758146286E-2</v>
      </c>
    </row>
    <row r="2536" spans="27:29">
      <c r="AA2536" s="50">
        <v>426.9</v>
      </c>
      <c r="AB2536" s="51">
        <v>79.703000000000003</v>
      </c>
      <c r="AC2536" s="52">
        <f t="shared" si="571"/>
        <v>9.8525331565928964E-2</v>
      </c>
    </row>
    <row r="2537" spans="27:29">
      <c r="AA2537" s="50">
        <v>426.8</v>
      </c>
      <c r="AB2537" s="51">
        <v>79.317999999999998</v>
      </c>
      <c r="AC2537" s="52">
        <f t="shared" si="571"/>
        <v>0.10062824504558555</v>
      </c>
    </row>
    <row r="2538" spans="27:29">
      <c r="AA2538" s="50">
        <v>426.7</v>
      </c>
      <c r="AB2538" s="51">
        <v>78.932000000000002</v>
      </c>
      <c r="AC2538" s="52">
        <f t="shared" si="571"/>
        <v>0.10274689278617843</v>
      </c>
    </row>
    <row r="2539" spans="27:29">
      <c r="AA2539" s="50">
        <v>426.6</v>
      </c>
      <c r="AB2539" s="51">
        <v>78.495000000000005</v>
      </c>
      <c r="AC2539" s="52">
        <f t="shared" si="571"/>
        <v>0.10515800620465349</v>
      </c>
    </row>
    <row r="2540" spans="27:29">
      <c r="AA2540" s="50">
        <v>426.5</v>
      </c>
      <c r="AB2540" s="51">
        <v>78.126000000000005</v>
      </c>
      <c r="AC2540" s="52">
        <f t="shared" si="571"/>
        <v>0.10720441071407708</v>
      </c>
    </row>
    <row r="2541" spans="27:29">
      <c r="AA2541" s="50">
        <v>426.4</v>
      </c>
      <c r="AB2541" s="51">
        <v>77.757000000000005</v>
      </c>
      <c r="AC2541" s="52">
        <f t="shared" si="571"/>
        <v>0.10926050359334478</v>
      </c>
    </row>
    <row r="2542" spans="27:29">
      <c r="AA2542" s="50">
        <v>426.3</v>
      </c>
      <c r="AB2542" s="51">
        <v>77.423000000000002</v>
      </c>
      <c r="AC2542" s="52">
        <f t="shared" si="571"/>
        <v>0.11113000457217603</v>
      </c>
    </row>
    <row r="2543" spans="27:29">
      <c r="AA2543" s="50">
        <v>426.2</v>
      </c>
      <c r="AB2543" s="51">
        <v>77.078999999999994</v>
      </c>
      <c r="AC2543" s="52">
        <f t="shared" si="571"/>
        <v>0.11306392838735652</v>
      </c>
    </row>
    <row r="2544" spans="27:29">
      <c r="AA2544" s="50">
        <v>426.1</v>
      </c>
      <c r="AB2544" s="51">
        <v>76.724000000000004</v>
      </c>
      <c r="AC2544" s="52">
        <f t="shared" si="571"/>
        <v>0.11506876333683225</v>
      </c>
    </row>
    <row r="2545" spans="27:29">
      <c r="AA2545" s="50">
        <v>426</v>
      </c>
      <c r="AB2545" s="51">
        <v>76.378</v>
      </c>
      <c r="AC2545" s="52">
        <f t="shared" si="571"/>
        <v>0.11703171805403309</v>
      </c>
    </row>
    <row r="2546" spans="27:29">
      <c r="AA2546" s="50">
        <v>425.9</v>
      </c>
      <c r="AB2546" s="51">
        <v>76.057000000000002</v>
      </c>
      <c r="AC2546" s="52">
        <f t="shared" si="571"/>
        <v>0.11886080894206594</v>
      </c>
    </row>
    <row r="2547" spans="27:29">
      <c r="AA2547" s="50">
        <v>425.8</v>
      </c>
      <c r="AB2547" s="51">
        <v>75.787000000000006</v>
      </c>
      <c r="AC2547" s="52">
        <f t="shared" si="571"/>
        <v>0.12040528397825054</v>
      </c>
    </row>
    <row r="2548" spans="27:29">
      <c r="AA2548" s="50">
        <v>425.7</v>
      </c>
      <c r="AB2548" s="51">
        <v>75.570999999999998</v>
      </c>
      <c r="AC2548" s="52">
        <f t="shared" si="571"/>
        <v>0.12164483090372155</v>
      </c>
    </row>
    <row r="2549" spans="27:29">
      <c r="AA2549" s="50">
        <v>425.6</v>
      </c>
      <c r="AB2549" s="51">
        <v>75.346000000000004</v>
      </c>
      <c r="AC2549" s="52">
        <f t="shared" si="571"/>
        <v>0.12293979874468862</v>
      </c>
    </row>
    <row r="2550" spans="27:29">
      <c r="AA2550" s="50">
        <v>425.5</v>
      </c>
      <c r="AB2550" s="51">
        <v>75.147000000000006</v>
      </c>
      <c r="AC2550" s="52">
        <f t="shared" si="571"/>
        <v>0.12408835252819821</v>
      </c>
    </row>
    <row r="2551" spans="27:29">
      <c r="AA2551" s="50">
        <v>425.4</v>
      </c>
      <c r="AB2551" s="51">
        <v>74.935000000000002</v>
      </c>
      <c r="AC2551" s="52">
        <f t="shared" si="571"/>
        <v>0.12531528835528599</v>
      </c>
    </row>
    <row r="2552" spans="27:29">
      <c r="AA2552" s="50">
        <v>425.3</v>
      </c>
      <c r="AB2552" s="51">
        <v>74.704999999999998</v>
      </c>
      <c r="AC2552" s="52">
        <f t="shared" si="571"/>
        <v>0.12665032991499409</v>
      </c>
    </row>
    <row r="2553" spans="27:29">
      <c r="AA2553" s="50">
        <v>425.2</v>
      </c>
      <c r="AB2553" s="51">
        <v>74.578999999999994</v>
      </c>
      <c r="AC2553" s="52">
        <f t="shared" si="571"/>
        <v>0.12738344421678097</v>
      </c>
    </row>
    <row r="2554" spans="27:29">
      <c r="AA2554" s="50">
        <v>425.1</v>
      </c>
      <c r="AB2554" s="51">
        <v>74.462000000000003</v>
      </c>
      <c r="AC2554" s="52">
        <f t="shared" si="571"/>
        <v>0.12806530309884004</v>
      </c>
    </row>
    <row r="2555" spans="27:29">
      <c r="AA2555" s="50">
        <v>425</v>
      </c>
      <c r="AB2555" s="51">
        <v>74.433000000000007</v>
      </c>
      <c r="AC2555" s="52">
        <f t="shared" si="571"/>
        <v>0.12823447654501957</v>
      </c>
    </row>
    <row r="2556" spans="27:29">
      <c r="AA2556" s="50">
        <v>424.9</v>
      </c>
      <c r="AB2556" s="51">
        <v>74.367000000000004</v>
      </c>
      <c r="AC2556" s="52">
        <f t="shared" si="571"/>
        <v>0.12861973780423083</v>
      </c>
    </row>
    <row r="2557" spans="27:29">
      <c r="AA2557" s="50">
        <v>424.8</v>
      </c>
      <c r="AB2557" s="51">
        <v>74.343999999999994</v>
      </c>
      <c r="AC2557" s="52">
        <f t="shared" si="571"/>
        <v>0.12875407585808593</v>
      </c>
    </row>
    <row r="2558" spans="27:29">
      <c r="AA2558" s="50">
        <v>424.7</v>
      </c>
      <c r="AB2558" s="51">
        <v>74.314999999999998</v>
      </c>
      <c r="AC2558" s="52">
        <f t="shared" si="571"/>
        <v>0.12892351787148515</v>
      </c>
    </row>
    <row r="2559" spans="27:29">
      <c r="AA2559" s="50">
        <v>424.6</v>
      </c>
      <c r="AB2559" s="51">
        <v>74.366</v>
      </c>
      <c r="AC2559" s="52">
        <f t="shared" si="571"/>
        <v>0.12862557772518868</v>
      </c>
    </row>
    <row r="2560" spans="27:29">
      <c r="AA2560" s="50">
        <v>424.5</v>
      </c>
      <c r="AB2560" s="51">
        <v>74.536000000000001</v>
      </c>
      <c r="AC2560" s="52">
        <f t="shared" si="571"/>
        <v>0.12763391751912445</v>
      </c>
    </row>
    <row r="2561" spans="27:29">
      <c r="AA2561" s="50">
        <v>424.4</v>
      </c>
      <c r="AB2561" s="51">
        <v>74.703000000000003</v>
      </c>
      <c r="AC2561" s="52">
        <f t="shared" si="571"/>
        <v>0.12666195698936566</v>
      </c>
    </row>
    <row r="2562" spans="27:29">
      <c r="AA2562" s="50">
        <v>424.3</v>
      </c>
      <c r="AB2562" s="51">
        <v>74.95</v>
      </c>
      <c r="AC2562" s="52">
        <f t="shared" si="571"/>
        <v>0.12522836281570171</v>
      </c>
    </row>
    <row r="2563" spans="27:29">
      <c r="AA2563" s="50">
        <v>424.2</v>
      </c>
      <c r="AB2563" s="51">
        <v>75.195999999999998</v>
      </c>
      <c r="AC2563" s="52">
        <f t="shared" si="571"/>
        <v>0.12380526079307576</v>
      </c>
    </row>
    <row r="2564" spans="27:29">
      <c r="AA2564" s="50">
        <v>424.1</v>
      </c>
      <c r="AB2564" s="51">
        <v>75.430000000000007</v>
      </c>
      <c r="AC2564" s="52">
        <f t="shared" si="571"/>
        <v>0.12245589228405593</v>
      </c>
    </row>
    <row r="2565" spans="27:29">
      <c r="AA2565" s="50">
        <v>424</v>
      </c>
      <c r="AB2565" s="51">
        <v>75.653000000000006</v>
      </c>
      <c r="AC2565" s="52">
        <f t="shared" si="571"/>
        <v>0.12117384546481803</v>
      </c>
    </row>
    <row r="2566" spans="27:29">
      <c r="AA2566" s="50">
        <v>423.9</v>
      </c>
      <c r="AB2566" s="51">
        <v>75.960999999999999</v>
      </c>
      <c r="AC2566" s="52">
        <f t="shared" si="571"/>
        <v>0.11940932656241313</v>
      </c>
    </row>
    <row r="2567" spans="27:29">
      <c r="AA2567" s="50">
        <v>423.8</v>
      </c>
      <c r="AB2567" s="51">
        <v>76.361999999999995</v>
      </c>
      <c r="AC2567" s="52">
        <f t="shared" si="571"/>
        <v>0.11712270550638179</v>
      </c>
    </row>
    <row r="2568" spans="27:29">
      <c r="AA2568" s="50">
        <v>423.7</v>
      </c>
      <c r="AB2568" s="51">
        <v>76.727999999999994</v>
      </c>
      <c r="AC2568" s="52">
        <f t="shared" si="571"/>
        <v>0.11504612201670604</v>
      </c>
    </row>
    <row r="2569" spans="27:29">
      <c r="AA2569" s="50">
        <v>423.6</v>
      </c>
      <c r="AB2569" s="51">
        <v>77.099000000000004</v>
      </c>
      <c r="AC2569" s="52">
        <f t="shared" si="571"/>
        <v>0.11295125485823058</v>
      </c>
    </row>
    <row r="2570" spans="27:29">
      <c r="AA2570" s="50">
        <v>423.5</v>
      </c>
      <c r="AB2570" s="51">
        <v>77.382000000000005</v>
      </c>
      <c r="AC2570" s="52">
        <f t="shared" ref="AC2570:AC2633" si="572">-LOG(AB2570/100)</f>
        <v>0.11136004977968698</v>
      </c>
    </row>
    <row r="2571" spans="27:29">
      <c r="AA2571" s="50">
        <v>423.4</v>
      </c>
      <c r="AB2571" s="51">
        <v>77.698999999999998</v>
      </c>
      <c r="AC2571" s="52">
        <f t="shared" si="572"/>
        <v>0.10958457061062521</v>
      </c>
    </row>
    <row r="2572" spans="27:29">
      <c r="AA2572" s="50">
        <v>423.3</v>
      </c>
      <c r="AB2572" s="51">
        <v>78.045000000000002</v>
      </c>
      <c r="AC2572" s="52">
        <f t="shared" si="572"/>
        <v>0.10765491504828216</v>
      </c>
    </row>
    <row r="2573" spans="27:29">
      <c r="AA2573" s="50">
        <v>423.2</v>
      </c>
      <c r="AB2573" s="51">
        <v>78.326999999999998</v>
      </c>
      <c r="AC2573" s="52">
        <f t="shared" si="572"/>
        <v>0.10608850703834856</v>
      </c>
    </row>
    <row r="2574" spans="27:29">
      <c r="AA2574" s="50">
        <v>423.1</v>
      </c>
      <c r="AB2574" s="51">
        <v>78.564999999999998</v>
      </c>
      <c r="AC2574" s="52">
        <f t="shared" si="572"/>
        <v>0.10477088515860558</v>
      </c>
    </row>
    <row r="2575" spans="27:29">
      <c r="AA2575" s="50">
        <v>423</v>
      </c>
      <c r="AB2575" s="51">
        <v>78.739000000000004</v>
      </c>
      <c r="AC2575" s="52">
        <f t="shared" si="572"/>
        <v>0.10381010513176463</v>
      </c>
    </row>
    <row r="2576" spans="27:29">
      <c r="AA2576" s="50">
        <v>422.9</v>
      </c>
      <c r="AB2576" s="51">
        <v>78.864999999999995</v>
      </c>
      <c r="AC2576" s="52">
        <f t="shared" si="572"/>
        <v>0.1031156923455632</v>
      </c>
    </row>
    <row r="2577" spans="27:29">
      <c r="AA2577" s="50">
        <v>422.8</v>
      </c>
      <c r="AB2577" s="51">
        <v>78.915999999999997</v>
      </c>
      <c r="AC2577" s="52">
        <f t="shared" si="572"/>
        <v>0.10283493586222948</v>
      </c>
    </row>
    <row r="2578" spans="27:29">
      <c r="AA2578" s="50">
        <v>422.7</v>
      </c>
      <c r="AB2578" s="51">
        <v>78.878</v>
      </c>
      <c r="AC2578" s="52">
        <f t="shared" si="572"/>
        <v>0.1030441097298208</v>
      </c>
    </row>
    <row r="2579" spans="27:29">
      <c r="AA2579" s="50">
        <v>422.6</v>
      </c>
      <c r="AB2579" s="51">
        <v>78.793000000000006</v>
      </c>
      <c r="AC2579" s="52">
        <f t="shared" si="572"/>
        <v>0.10351236368315313</v>
      </c>
    </row>
    <row r="2580" spans="27:29">
      <c r="AA2580" s="50">
        <v>422.5</v>
      </c>
      <c r="AB2580" s="51">
        <v>78.754000000000005</v>
      </c>
      <c r="AC2580" s="52">
        <f t="shared" si="572"/>
        <v>0.10372737869632628</v>
      </c>
    </row>
    <row r="2581" spans="27:29">
      <c r="AA2581" s="50">
        <v>422.4</v>
      </c>
      <c r="AB2581" s="51">
        <v>78.587000000000003</v>
      </c>
      <c r="AC2581" s="52">
        <f t="shared" si="572"/>
        <v>0.1046492897775186</v>
      </c>
    </row>
    <row r="2582" spans="27:29">
      <c r="AA2582" s="50">
        <v>422.3</v>
      </c>
      <c r="AB2582" s="51">
        <v>78.382000000000005</v>
      </c>
      <c r="AC2582" s="52">
        <f t="shared" si="572"/>
        <v>0.10578365923145244</v>
      </c>
    </row>
    <row r="2583" spans="27:29">
      <c r="AA2583" s="50">
        <v>422.2</v>
      </c>
      <c r="AB2583" s="51">
        <v>78.072000000000003</v>
      </c>
      <c r="AC2583" s="52">
        <f t="shared" si="572"/>
        <v>0.10750469500654035</v>
      </c>
    </row>
    <row r="2584" spans="27:29">
      <c r="AA2584" s="50">
        <v>422.1</v>
      </c>
      <c r="AB2584" s="51">
        <v>77.64</v>
      </c>
      <c r="AC2584" s="52">
        <f t="shared" si="572"/>
        <v>0.1099144732836748</v>
      </c>
    </row>
    <row r="2585" spans="27:29">
      <c r="AA2585" s="50">
        <v>422</v>
      </c>
      <c r="AB2585" s="51">
        <v>77.150999999999996</v>
      </c>
      <c r="AC2585" s="52">
        <f t="shared" si="572"/>
        <v>0.11265844041525531</v>
      </c>
    </row>
    <row r="2586" spans="27:29">
      <c r="AA2586" s="50">
        <v>421.9</v>
      </c>
      <c r="AB2586" s="51">
        <v>76.638000000000005</v>
      </c>
      <c r="AC2586" s="52">
        <f t="shared" si="572"/>
        <v>0.1155558374406989</v>
      </c>
    </row>
    <row r="2587" spans="27:29">
      <c r="AA2587" s="50">
        <v>421.8</v>
      </c>
      <c r="AB2587" s="51">
        <v>76.078999999999994</v>
      </c>
      <c r="AC2587" s="52">
        <f t="shared" si="572"/>
        <v>0.11873520450040229</v>
      </c>
    </row>
    <row r="2588" spans="27:29">
      <c r="AA2588" s="50">
        <v>421.7</v>
      </c>
      <c r="AB2588" s="51">
        <v>75.477000000000004</v>
      </c>
      <c r="AC2588" s="52">
        <f t="shared" si="572"/>
        <v>0.12218537015705794</v>
      </c>
    </row>
    <row r="2589" spans="27:29">
      <c r="AA2589" s="50">
        <v>421.6</v>
      </c>
      <c r="AB2589" s="51">
        <v>74.822999999999993</v>
      </c>
      <c r="AC2589" s="52">
        <f t="shared" si="572"/>
        <v>0.12596488291506519</v>
      </c>
    </row>
    <row r="2590" spans="27:29">
      <c r="AA2590" s="50">
        <v>421.5</v>
      </c>
      <c r="AB2590" s="51">
        <v>74.099000000000004</v>
      </c>
      <c r="AC2590" s="52">
        <f t="shared" si="572"/>
        <v>0.1301876529844018</v>
      </c>
    </row>
    <row r="2591" spans="27:29">
      <c r="AA2591" s="50">
        <v>421.4</v>
      </c>
      <c r="AB2591" s="51">
        <v>73.375</v>
      </c>
      <c r="AC2591" s="52">
        <f t="shared" si="572"/>
        <v>0.13445188574432909</v>
      </c>
    </row>
    <row r="2592" spans="27:29">
      <c r="AA2592" s="50">
        <v>421.3</v>
      </c>
      <c r="AB2592" s="51">
        <v>72.605000000000004</v>
      </c>
      <c r="AC2592" s="52">
        <f t="shared" si="572"/>
        <v>0.13903347024153531</v>
      </c>
    </row>
    <row r="2593" spans="27:29">
      <c r="AA2593" s="50">
        <v>421.2</v>
      </c>
      <c r="AB2593" s="51">
        <v>71.835999999999999</v>
      </c>
      <c r="AC2593" s="52">
        <f t="shared" si="572"/>
        <v>0.14365785822120614</v>
      </c>
    </row>
    <row r="2594" spans="27:29">
      <c r="AA2594" s="50">
        <v>421.1</v>
      </c>
      <c r="AB2594" s="51">
        <v>70.974000000000004</v>
      </c>
      <c r="AC2594" s="52">
        <f t="shared" si="572"/>
        <v>0.14890071782347072</v>
      </c>
    </row>
    <row r="2595" spans="27:29">
      <c r="AA2595" s="50">
        <v>421</v>
      </c>
      <c r="AB2595" s="51">
        <v>70.144999999999996</v>
      </c>
      <c r="AC2595" s="52">
        <f t="shared" si="572"/>
        <v>0.15400328044175035</v>
      </c>
    </row>
    <row r="2596" spans="27:29">
      <c r="AA2596" s="50">
        <v>420.9</v>
      </c>
      <c r="AB2596" s="51">
        <v>69.19</v>
      </c>
      <c r="AC2596" s="52">
        <f t="shared" si="572"/>
        <v>0.15995666939650605</v>
      </c>
    </row>
    <row r="2597" spans="27:29">
      <c r="AA2597" s="50">
        <v>420.8</v>
      </c>
      <c r="AB2597" s="51">
        <v>68.23</v>
      </c>
      <c r="AC2597" s="52">
        <f t="shared" si="572"/>
        <v>0.1660246287200938</v>
      </c>
    </row>
    <row r="2598" spans="27:29">
      <c r="AA2598" s="50">
        <v>420.7</v>
      </c>
      <c r="AB2598" s="51">
        <v>67.248000000000005</v>
      </c>
      <c r="AC2598" s="52">
        <f t="shared" si="572"/>
        <v>0.17232062733863812</v>
      </c>
    </row>
    <row r="2599" spans="27:29">
      <c r="AA2599" s="50">
        <v>420.6</v>
      </c>
      <c r="AB2599" s="51">
        <v>66.287999999999997</v>
      </c>
      <c r="AC2599" s="52">
        <f t="shared" si="572"/>
        <v>0.17856508404578156</v>
      </c>
    </row>
    <row r="2600" spans="27:29">
      <c r="AA2600" s="50">
        <v>420.5</v>
      </c>
      <c r="AB2600" s="51">
        <v>65.335999999999999</v>
      </c>
      <c r="AC2600" s="52">
        <f t="shared" si="572"/>
        <v>0.18484745741955411</v>
      </c>
    </row>
    <row r="2601" spans="27:29">
      <c r="AA2601" s="50">
        <v>420.4</v>
      </c>
      <c r="AB2601" s="51">
        <v>64.361000000000004</v>
      </c>
      <c r="AC2601" s="52">
        <f t="shared" si="572"/>
        <v>0.19137721673105668</v>
      </c>
    </row>
    <row r="2602" spans="27:29">
      <c r="AA2602" s="50">
        <v>420.3</v>
      </c>
      <c r="AB2602" s="51">
        <v>63.442999999999998</v>
      </c>
      <c r="AC2602" s="52">
        <f t="shared" si="572"/>
        <v>0.1976162889212093</v>
      </c>
    </row>
    <row r="2603" spans="27:29">
      <c r="AA2603" s="50">
        <v>420.2</v>
      </c>
      <c r="AB2603" s="51">
        <v>62.41</v>
      </c>
      <c r="AC2603" s="52">
        <f t="shared" si="572"/>
        <v>0.20474581741911715</v>
      </c>
    </row>
    <row r="2604" spans="27:29">
      <c r="AA2604" s="50">
        <v>420.1</v>
      </c>
      <c r="AB2604" s="51">
        <v>61.53</v>
      </c>
      <c r="AC2604" s="52">
        <f t="shared" si="572"/>
        <v>0.2109130849119713</v>
      </c>
    </row>
    <row r="2605" spans="27:29">
      <c r="AA2605" s="50">
        <v>420</v>
      </c>
      <c r="AB2605" s="51">
        <v>60.612000000000002</v>
      </c>
      <c r="AC2605" s="52">
        <f t="shared" si="572"/>
        <v>0.21744138544002564</v>
      </c>
    </row>
    <row r="2606" spans="27:29">
      <c r="AA2606" s="50">
        <v>419.9</v>
      </c>
      <c r="AB2606" s="51">
        <v>59.707999999999998</v>
      </c>
      <c r="AC2606" s="52">
        <f t="shared" si="572"/>
        <v>0.22396747585407553</v>
      </c>
    </row>
    <row r="2607" spans="27:29">
      <c r="AA2607" s="50">
        <v>419.8</v>
      </c>
      <c r="AB2607" s="51">
        <v>58.795000000000002</v>
      </c>
      <c r="AC2607" s="52">
        <f t="shared" si="572"/>
        <v>0.23065960529697815</v>
      </c>
    </row>
    <row r="2608" spans="27:29">
      <c r="AA2608" s="50">
        <v>419.7</v>
      </c>
      <c r="AB2608" s="51">
        <v>58.008000000000003</v>
      </c>
      <c r="AC2608" s="52">
        <f t="shared" si="572"/>
        <v>0.23651210788074359</v>
      </c>
    </row>
    <row r="2609" spans="27:29">
      <c r="AA2609" s="50">
        <v>419.6</v>
      </c>
      <c r="AB2609" s="51">
        <v>57.243000000000002</v>
      </c>
      <c r="AC2609" s="52">
        <f t="shared" si="572"/>
        <v>0.24227761374342383</v>
      </c>
    </row>
    <row r="2610" spans="27:29">
      <c r="AA2610" s="50">
        <v>419.5</v>
      </c>
      <c r="AB2610" s="51">
        <v>56.5</v>
      </c>
      <c r="AC2610" s="52">
        <f t="shared" si="572"/>
        <v>0.2479515521805615</v>
      </c>
    </row>
    <row r="2611" spans="27:29">
      <c r="AA2611" s="50">
        <v>419.4</v>
      </c>
      <c r="AB2611" s="51">
        <v>55.85</v>
      </c>
      <c r="AC2611" s="52">
        <f t="shared" si="572"/>
        <v>0.25297682254837212</v>
      </c>
    </row>
    <row r="2612" spans="27:29">
      <c r="AA2612" s="50">
        <v>419.3</v>
      </c>
      <c r="AB2612" s="51">
        <v>55.295999999999999</v>
      </c>
      <c r="AC2612" s="52">
        <f t="shared" si="572"/>
        <v>0.25730628353721952</v>
      </c>
    </row>
    <row r="2613" spans="27:29">
      <c r="AA2613" s="50">
        <v>419.2</v>
      </c>
      <c r="AB2613" s="51">
        <v>54.860999999999997</v>
      </c>
      <c r="AC2613" s="52">
        <f t="shared" si="572"/>
        <v>0.26073628038945984</v>
      </c>
    </row>
    <row r="2614" spans="27:29">
      <c r="AA2614" s="50">
        <v>419.1</v>
      </c>
      <c r="AB2614" s="51">
        <v>54.476999999999997</v>
      </c>
      <c r="AC2614" s="52">
        <f t="shared" si="572"/>
        <v>0.26378681664812309</v>
      </c>
    </row>
    <row r="2615" spans="27:29">
      <c r="AA2615" s="50">
        <v>419</v>
      </c>
      <c r="AB2615" s="51">
        <v>54.162999999999997</v>
      </c>
      <c r="AC2615" s="52">
        <f t="shared" si="572"/>
        <v>0.26629728879553488</v>
      </c>
    </row>
    <row r="2616" spans="27:29">
      <c r="AA2616" s="50">
        <v>418.9</v>
      </c>
      <c r="AB2616" s="51">
        <v>53.908999999999999</v>
      </c>
      <c r="AC2616" s="52">
        <f t="shared" si="572"/>
        <v>0.26833872416301491</v>
      </c>
    </row>
    <row r="2617" spans="27:29">
      <c r="AA2617" s="50">
        <v>418.8</v>
      </c>
      <c r="AB2617" s="51">
        <v>53.725000000000001</v>
      </c>
      <c r="AC2617" s="52">
        <f t="shared" si="572"/>
        <v>0.26982357583651906</v>
      </c>
    </row>
    <row r="2618" spans="27:29">
      <c r="AA2618" s="50">
        <v>418.7</v>
      </c>
      <c r="AB2618" s="51">
        <v>53.67</v>
      </c>
      <c r="AC2618" s="52">
        <f t="shared" si="572"/>
        <v>0.27026840471296448</v>
      </c>
    </row>
    <row r="2619" spans="27:29">
      <c r="AA2619" s="50">
        <v>418.6</v>
      </c>
      <c r="AB2619" s="51">
        <v>53.713999999999999</v>
      </c>
      <c r="AC2619" s="52">
        <f t="shared" si="572"/>
        <v>0.26991250516977106</v>
      </c>
    </row>
    <row r="2620" spans="27:29">
      <c r="AA2620" s="50">
        <v>418.5</v>
      </c>
      <c r="AB2620" s="51">
        <v>53.854999999999997</v>
      </c>
      <c r="AC2620" s="52">
        <f t="shared" si="572"/>
        <v>0.26877396977352802</v>
      </c>
    </row>
    <row r="2621" spans="27:29">
      <c r="AA2621" s="50">
        <v>418.4</v>
      </c>
      <c r="AB2621" s="51">
        <v>54.040999999999997</v>
      </c>
      <c r="AC2621" s="52">
        <f t="shared" si="572"/>
        <v>0.2672766231869485</v>
      </c>
    </row>
    <row r="2622" spans="27:29">
      <c r="AA2622" s="50">
        <v>418.3</v>
      </c>
      <c r="AB2622" s="51">
        <v>54.369</v>
      </c>
      <c r="AC2622" s="52">
        <f t="shared" si="572"/>
        <v>0.2646486548312087</v>
      </c>
    </row>
    <row r="2623" spans="27:29">
      <c r="AA2623" s="50">
        <v>418.2</v>
      </c>
      <c r="AB2623" s="51">
        <v>54.820999999999998</v>
      </c>
      <c r="AC2623" s="52">
        <f t="shared" si="572"/>
        <v>0.26105304667829982</v>
      </c>
    </row>
    <row r="2624" spans="27:29">
      <c r="AA2624" s="50">
        <v>418.1</v>
      </c>
      <c r="AB2624" s="51">
        <v>55.34</v>
      </c>
      <c r="AC2624" s="52">
        <f t="shared" si="572"/>
        <v>0.25696084519506684</v>
      </c>
    </row>
    <row r="2625" spans="27:29">
      <c r="AA2625" s="50">
        <v>418</v>
      </c>
      <c r="AB2625" s="51">
        <v>55.981000000000002</v>
      </c>
      <c r="AC2625" s="52">
        <f t="shared" si="572"/>
        <v>0.25195934790981828</v>
      </c>
    </row>
    <row r="2626" spans="27:29">
      <c r="AA2626" s="50">
        <v>417.9</v>
      </c>
      <c r="AB2626" s="51">
        <v>56.670999999999999</v>
      </c>
      <c r="AC2626" s="52">
        <f t="shared" si="572"/>
        <v>0.24663912385664821</v>
      </c>
    </row>
    <row r="2627" spans="27:29">
      <c r="AA2627" s="50">
        <v>417.8</v>
      </c>
      <c r="AB2627" s="51">
        <v>57.534999999999997</v>
      </c>
      <c r="AC2627" s="52">
        <f t="shared" si="572"/>
        <v>0.24006788257014874</v>
      </c>
    </row>
    <row r="2628" spans="27:29">
      <c r="AA2628" s="50">
        <v>417.7</v>
      </c>
      <c r="AB2628" s="51">
        <v>58.43</v>
      </c>
      <c r="AC2628" s="52">
        <f t="shared" si="572"/>
        <v>0.23336411368973245</v>
      </c>
    </row>
    <row r="2629" spans="27:29">
      <c r="AA2629" s="50">
        <v>417.6</v>
      </c>
      <c r="AB2629" s="51">
        <v>59.335999999999999</v>
      </c>
      <c r="AC2629" s="52">
        <f t="shared" si="572"/>
        <v>0.22668173399626199</v>
      </c>
    </row>
    <row r="2630" spans="27:29">
      <c r="AA2630" s="50">
        <v>417.5</v>
      </c>
      <c r="AB2630" s="51">
        <v>60.271000000000001</v>
      </c>
      <c r="AC2630" s="52">
        <f t="shared" si="572"/>
        <v>0.21989160277667055</v>
      </c>
    </row>
    <row r="2631" spans="27:29">
      <c r="AA2631" s="50">
        <v>417.4</v>
      </c>
      <c r="AB2631" s="51">
        <v>61.283000000000001</v>
      </c>
      <c r="AC2631" s="52">
        <f t="shared" si="572"/>
        <v>0.21265998274302719</v>
      </c>
    </row>
    <row r="2632" spans="27:29">
      <c r="AA2632" s="50">
        <v>417.3</v>
      </c>
      <c r="AB2632" s="51">
        <v>62.283000000000001</v>
      </c>
      <c r="AC2632" s="52">
        <f t="shared" si="572"/>
        <v>0.20563047683501787</v>
      </c>
    </row>
    <row r="2633" spans="27:29">
      <c r="AA2633" s="50">
        <v>417.2</v>
      </c>
      <c r="AB2633" s="51">
        <v>63.328000000000003</v>
      </c>
      <c r="AC2633" s="52">
        <f t="shared" si="572"/>
        <v>0.19840422747369771</v>
      </c>
    </row>
    <row r="2634" spans="27:29">
      <c r="AA2634" s="50">
        <v>417.1</v>
      </c>
      <c r="AB2634" s="51">
        <v>64.308999999999997</v>
      </c>
      <c r="AC2634" s="52">
        <f t="shared" ref="AC2634:AC2697" si="573">-LOG(AB2634/100)</f>
        <v>0.19172824361049157</v>
      </c>
    </row>
    <row r="2635" spans="27:29">
      <c r="AA2635" s="50">
        <v>417</v>
      </c>
      <c r="AB2635" s="51">
        <v>65.287999999999997</v>
      </c>
      <c r="AC2635" s="52">
        <f t="shared" si="573"/>
        <v>0.1851666351521247</v>
      </c>
    </row>
    <row r="2636" spans="27:29">
      <c r="AA2636" s="50">
        <v>416.9</v>
      </c>
      <c r="AB2636" s="51">
        <v>66.284000000000006</v>
      </c>
      <c r="AC2636" s="52">
        <f t="shared" si="573"/>
        <v>0.17859129135845891</v>
      </c>
    </row>
    <row r="2637" spans="27:29">
      <c r="AA2637" s="50">
        <v>416.8</v>
      </c>
      <c r="AB2637" s="51">
        <v>67.183999999999997</v>
      </c>
      <c r="AC2637" s="52">
        <f t="shared" si="573"/>
        <v>0.17273414270613557</v>
      </c>
    </row>
    <row r="2638" spans="27:29">
      <c r="AA2638" s="50">
        <v>416.7</v>
      </c>
      <c r="AB2638" s="51">
        <v>68.040000000000006</v>
      </c>
      <c r="AC2638" s="52">
        <f t="shared" si="573"/>
        <v>0.16723569505946853</v>
      </c>
    </row>
    <row r="2639" spans="27:29">
      <c r="AA2639" s="50">
        <v>416.6</v>
      </c>
      <c r="AB2639" s="51">
        <v>68.813999999999993</v>
      </c>
      <c r="AC2639" s="52">
        <f t="shared" si="573"/>
        <v>0.16232319687766583</v>
      </c>
    </row>
    <row r="2640" spans="27:29">
      <c r="AA2640" s="50">
        <v>416.5</v>
      </c>
      <c r="AB2640" s="51">
        <v>69.563999999999993</v>
      </c>
      <c r="AC2640" s="52">
        <f t="shared" si="573"/>
        <v>0.15761545358160356</v>
      </c>
    </row>
    <row r="2641" spans="27:29">
      <c r="AA2641" s="50">
        <v>416.4</v>
      </c>
      <c r="AB2641" s="51">
        <v>70.284999999999997</v>
      </c>
      <c r="AC2641" s="52">
        <f t="shared" si="573"/>
        <v>0.15313735083113128</v>
      </c>
    </row>
    <row r="2642" spans="27:29">
      <c r="AA2642" s="50">
        <v>416.3</v>
      </c>
      <c r="AB2642" s="51">
        <v>70.852000000000004</v>
      </c>
      <c r="AC2642" s="52">
        <f t="shared" si="573"/>
        <v>0.14964788604172205</v>
      </c>
    </row>
    <row r="2643" spans="27:29">
      <c r="AA2643" s="50">
        <v>416.2</v>
      </c>
      <c r="AB2643" s="51">
        <v>71.335999999999999</v>
      </c>
      <c r="AC2643" s="52">
        <f t="shared" si="573"/>
        <v>0.14669124636619305</v>
      </c>
    </row>
    <row r="2644" spans="27:29">
      <c r="AA2644" s="50">
        <v>416.1</v>
      </c>
      <c r="AB2644" s="51">
        <v>71.834999999999994</v>
      </c>
      <c r="AC2644" s="52">
        <f t="shared" si="573"/>
        <v>0.1436639039017111</v>
      </c>
    </row>
    <row r="2645" spans="27:29">
      <c r="AA2645" s="50">
        <v>416</v>
      </c>
      <c r="AB2645" s="51">
        <v>72.186999999999998</v>
      </c>
      <c r="AC2645" s="52">
        <f t="shared" si="573"/>
        <v>0.14154100653848692</v>
      </c>
    </row>
    <row r="2646" spans="27:29">
      <c r="AA2646" s="50">
        <v>415.9</v>
      </c>
      <c r="AB2646" s="51">
        <v>72.537999999999997</v>
      </c>
      <c r="AC2646" s="52">
        <f t="shared" si="573"/>
        <v>0.13943442285177915</v>
      </c>
    </row>
    <row r="2647" spans="27:29">
      <c r="AA2647" s="50">
        <v>415.8</v>
      </c>
      <c r="AB2647" s="51">
        <v>72.828999999999994</v>
      </c>
      <c r="AC2647" s="52">
        <f t="shared" si="573"/>
        <v>0.1376956532128791</v>
      </c>
    </row>
    <row r="2648" spans="27:29">
      <c r="AA2648" s="50">
        <v>415.7</v>
      </c>
      <c r="AB2648" s="51">
        <v>72.983999999999995</v>
      </c>
      <c r="AC2648" s="52">
        <f t="shared" si="573"/>
        <v>0.13677233814426185</v>
      </c>
    </row>
    <row r="2649" spans="27:29">
      <c r="AA2649" s="50">
        <v>415.6</v>
      </c>
      <c r="AB2649" s="51">
        <v>73.177999999999997</v>
      </c>
      <c r="AC2649" s="52">
        <f t="shared" si="573"/>
        <v>0.13561946422401142</v>
      </c>
    </row>
    <row r="2650" spans="27:29">
      <c r="AA2650" s="50">
        <v>415.5</v>
      </c>
      <c r="AB2650" s="51">
        <v>73.331000000000003</v>
      </c>
      <c r="AC2650" s="52">
        <f t="shared" si="573"/>
        <v>0.13471239257808784</v>
      </c>
    </row>
    <row r="2651" spans="27:29">
      <c r="AA2651" s="50">
        <v>415.4</v>
      </c>
      <c r="AB2651" s="51">
        <v>73.400999999999996</v>
      </c>
      <c r="AC2651" s="52">
        <f t="shared" si="573"/>
        <v>0.13429802330567989</v>
      </c>
    </row>
    <row r="2652" spans="27:29">
      <c r="AA2652" s="50">
        <v>415.3</v>
      </c>
      <c r="AB2652" s="51">
        <v>73.471000000000004</v>
      </c>
      <c r="AC2652" s="52">
        <f t="shared" si="573"/>
        <v>0.1338840490146633</v>
      </c>
    </row>
    <row r="2653" spans="27:29">
      <c r="AA2653" s="50">
        <v>415.2</v>
      </c>
      <c r="AB2653" s="51">
        <v>73.537999999999997</v>
      </c>
      <c r="AC2653" s="52">
        <f t="shared" si="573"/>
        <v>0.13348818573687538</v>
      </c>
    </row>
    <row r="2654" spans="27:29">
      <c r="AA2654" s="50">
        <v>415.1</v>
      </c>
      <c r="AB2654" s="51">
        <v>73.614000000000004</v>
      </c>
      <c r="AC2654" s="52">
        <f t="shared" si="573"/>
        <v>0.13303958315506331</v>
      </c>
    </row>
    <row r="2655" spans="27:29">
      <c r="AA2655" s="50">
        <v>415</v>
      </c>
      <c r="AB2655" s="51">
        <v>73.638999999999996</v>
      </c>
      <c r="AC2655" s="52">
        <f t="shared" si="573"/>
        <v>0.13289211774312745</v>
      </c>
    </row>
    <row r="2656" spans="27:29">
      <c r="AA2656" s="50">
        <v>414.9</v>
      </c>
      <c r="AB2656" s="51">
        <v>73.721000000000004</v>
      </c>
      <c r="AC2656" s="52">
        <f t="shared" si="573"/>
        <v>0.13240878235778794</v>
      </c>
    </row>
    <row r="2657" spans="27:29">
      <c r="AA2657" s="50">
        <v>414.8</v>
      </c>
      <c r="AB2657" s="51">
        <v>73.754999999999995</v>
      </c>
      <c r="AC2657" s="52">
        <f t="shared" si="573"/>
        <v>0.13220853265415727</v>
      </c>
    </row>
    <row r="2658" spans="27:29">
      <c r="AA2658" s="50">
        <v>414.7</v>
      </c>
      <c r="AB2658" s="51">
        <v>73.825000000000003</v>
      </c>
      <c r="AC2658" s="52">
        <f t="shared" si="573"/>
        <v>0.13179654436288391</v>
      </c>
    </row>
    <row r="2659" spans="27:29">
      <c r="AA2659" s="50">
        <v>414.6</v>
      </c>
      <c r="AB2659" s="51">
        <v>73.875</v>
      </c>
      <c r="AC2659" s="52">
        <f t="shared" si="573"/>
        <v>0.1315025061106882</v>
      </c>
    </row>
    <row r="2660" spans="27:29">
      <c r="AA2660" s="50">
        <v>414.5</v>
      </c>
      <c r="AB2660" s="51">
        <v>73.986000000000004</v>
      </c>
      <c r="AC2660" s="52">
        <f t="shared" si="573"/>
        <v>0.13085045186315813</v>
      </c>
    </row>
    <row r="2661" spans="27:29">
      <c r="AA2661" s="50">
        <v>414.4</v>
      </c>
      <c r="AB2661" s="51">
        <v>74.078000000000003</v>
      </c>
      <c r="AC2661" s="52">
        <f t="shared" si="573"/>
        <v>0.13031075149741031</v>
      </c>
    </row>
    <row r="2662" spans="27:29">
      <c r="AA2662" s="50">
        <v>414.3</v>
      </c>
      <c r="AB2662" s="51">
        <v>74.126999999999995</v>
      </c>
      <c r="AC2662" s="52">
        <f t="shared" si="573"/>
        <v>0.13002357589080243</v>
      </c>
    </row>
    <row r="2663" spans="27:29">
      <c r="AA2663" s="50">
        <v>414.2</v>
      </c>
      <c r="AB2663" s="51">
        <v>74.353999999999999</v>
      </c>
      <c r="AC2663" s="52">
        <f t="shared" si="573"/>
        <v>0.1286956629026248</v>
      </c>
    </row>
    <row r="2664" spans="27:29">
      <c r="AA2664" s="50">
        <v>414.1</v>
      </c>
      <c r="AB2664" s="51">
        <v>74.512</v>
      </c>
      <c r="AC2664" s="52">
        <f t="shared" si="573"/>
        <v>0.12777377941134391</v>
      </c>
    </row>
    <row r="2665" spans="27:29">
      <c r="AA2665" s="50">
        <v>414</v>
      </c>
      <c r="AB2665" s="51">
        <v>74.704999999999998</v>
      </c>
      <c r="AC2665" s="52">
        <f t="shared" si="573"/>
        <v>0.12665032991499409</v>
      </c>
    </row>
    <row r="2666" spans="27:29">
      <c r="AA2666" s="50">
        <v>413.9</v>
      </c>
      <c r="AB2666" s="51">
        <v>74.915000000000006</v>
      </c>
      <c r="AC2666" s="52">
        <f t="shared" si="573"/>
        <v>0.12543121614560485</v>
      </c>
    </row>
    <row r="2667" spans="27:29">
      <c r="AA2667" s="50">
        <v>413.8</v>
      </c>
      <c r="AB2667" s="51">
        <v>75.194999999999993</v>
      </c>
      <c r="AC2667" s="52">
        <f t="shared" si="573"/>
        <v>0.12381103633126504</v>
      </c>
    </row>
    <row r="2668" spans="27:29">
      <c r="AA2668" s="50">
        <v>413.7</v>
      </c>
      <c r="AB2668" s="51">
        <v>75.507999999999996</v>
      </c>
      <c r="AC2668" s="52">
        <f t="shared" si="573"/>
        <v>0.12200703285032972</v>
      </c>
    </row>
    <row r="2669" spans="27:29">
      <c r="AA2669" s="50">
        <v>413.6</v>
      </c>
      <c r="AB2669" s="51">
        <v>75.858000000000004</v>
      </c>
      <c r="AC2669" s="52">
        <f t="shared" si="573"/>
        <v>0.11999861167823091</v>
      </c>
    </row>
    <row r="2670" spans="27:29">
      <c r="AA2670" s="50">
        <v>413.5</v>
      </c>
      <c r="AB2670" s="51">
        <v>76.256</v>
      </c>
      <c r="AC2670" s="52">
        <f t="shared" si="573"/>
        <v>0.1177259793336379</v>
      </c>
    </row>
    <row r="2671" spans="27:29">
      <c r="AA2671" s="50">
        <v>413.4</v>
      </c>
      <c r="AB2671" s="51">
        <v>76.614000000000004</v>
      </c>
      <c r="AC2671" s="52">
        <f t="shared" si="573"/>
        <v>0.11569186264951689</v>
      </c>
    </row>
    <row r="2672" spans="27:29">
      <c r="AA2672" s="50">
        <v>413.3</v>
      </c>
      <c r="AB2672" s="51">
        <v>76.977000000000004</v>
      </c>
      <c r="AC2672" s="52">
        <f t="shared" si="573"/>
        <v>0.11363901853155266</v>
      </c>
    </row>
    <row r="2673" spans="27:29">
      <c r="AA2673" s="50">
        <v>413.2</v>
      </c>
      <c r="AB2673" s="51">
        <v>77.423000000000002</v>
      </c>
      <c r="AC2673" s="52">
        <f t="shared" si="573"/>
        <v>0.11113000457217603</v>
      </c>
    </row>
    <row r="2674" spans="27:29">
      <c r="AA2674" s="50">
        <v>413.1</v>
      </c>
      <c r="AB2674" s="51">
        <v>77.835999999999999</v>
      </c>
      <c r="AC2674" s="52">
        <f t="shared" si="573"/>
        <v>0.10881949060408948</v>
      </c>
    </row>
    <row r="2675" spans="27:29">
      <c r="AA2675" s="50">
        <v>413</v>
      </c>
      <c r="AB2675" s="51">
        <v>78.296999999999997</v>
      </c>
      <c r="AC2675" s="52">
        <f t="shared" si="573"/>
        <v>0.1062548778961537</v>
      </c>
    </row>
    <row r="2676" spans="27:29">
      <c r="AA2676" s="50">
        <v>412.9</v>
      </c>
      <c r="AB2676" s="51">
        <v>78.69</v>
      </c>
      <c r="AC2676" s="52">
        <f t="shared" si="573"/>
        <v>0.10408045468998404</v>
      </c>
    </row>
    <row r="2677" spans="27:29">
      <c r="AA2677" s="50">
        <v>412.8</v>
      </c>
      <c r="AB2677" s="51">
        <v>79.2</v>
      </c>
      <c r="AC2677" s="52">
        <f t="shared" si="573"/>
        <v>0.10127481841050648</v>
      </c>
    </row>
    <row r="2678" spans="27:29">
      <c r="AA2678" s="50">
        <v>412.7</v>
      </c>
      <c r="AB2678" s="51">
        <v>79.673000000000002</v>
      </c>
      <c r="AC2678" s="52">
        <f t="shared" si="573"/>
        <v>9.868882964105917E-2</v>
      </c>
    </row>
    <row r="2679" spans="27:29">
      <c r="AA2679" s="50">
        <v>412.6</v>
      </c>
      <c r="AB2679" s="51">
        <v>80.045000000000002</v>
      </c>
      <c r="AC2679" s="52">
        <f t="shared" si="573"/>
        <v>9.6665791042975888E-2</v>
      </c>
    </row>
    <row r="2680" spans="27:29">
      <c r="AA2680" s="50">
        <v>412.5</v>
      </c>
      <c r="AB2680" s="51">
        <v>80.506</v>
      </c>
      <c r="AC2680" s="52">
        <f t="shared" si="573"/>
        <v>9.4171751063349879E-2</v>
      </c>
    </row>
    <row r="2681" spans="27:29">
      <c r="AA2681" s="50">
        <v>412.4</v>
      </c>
      <c r="AB2681" s="51">
        <v>80.903999999999996</v>
      </c>
      <c r="AC2681" s="52">
        <f t="shared" si="573"/>
        <v>9.2030005767422068E-2</v>
      </c>
    </row>
    <row r="2682" spans="27:29">
      <c r="AA2682" s="50">
        <v>412.3</v>
      </c>
      <c r="AB2682" s="51">
        <v>81.370999999999995</v>
      </c>
      <c r="AC2682" s="52">
        <f t="shared" si="573"/>
        <v>8.9530346757080451E-2</v>
      </c>
    </row>
    <row r="2683" spans="27:29">
      <c r="AA2683" s="50">
        <v>412.2</v>
      </c>
      <c r="AB2683" s="51">
        <v>81.861000000000004</v>
      </c>
      <c r="AC2683" s="52">
        <f t="shared" si="573"/>
        <v>8.6922954391100329E-2</v>
      </c>
    </row>
    <row r="2684" spans="27:29">
      <c r="AA2684" s="50">
        <v>412.1</v>
      </c>
      <c r="AB2684" s="51">
        <v>82.177999999999997</v>
      </c>
      <c r="AC2684" s="52">
        <f t="shared" si="573"/>
        <v>8.5244432550094534E-2</v>
      </c>
    </row>
    <row r="2685" spans="27:29">
      <c r="AA2685" s="50">
        <v>412</v>
      </c>
      <c r="AB2685" s="51">
        <v>82.474999999999994</v>
      </c>
      <c r="AC2685" s="52">
        <f t="shared" si="573"/>
        <v>8.3677675782618519E-2</v>
      </c>
    </row>
    <row r="2686" spans="27:29">
      <c r="AA2686" s="50">
        <v>411.9</v>
      </c>
      <c r="AB2686" s="51">
        <v>82.831999999999994</v>
      </c>
      <c r="AC2686" s="52">
        <f t="shared" si="573"/>
        <v>8.1801852362219291E-2</v>
      </c>
    </row>
    <row r="2687" spans="27:29">
      <c r="AA2687" s="50">
        <v>411.8</v>
      </c>
      <c r="AB2687" s="51">
        <v>83.162000000000006</v>
      </c>
      <c r="AC2687" s="52">
        <f t="shared" si="573"/>
        <v>8.0075074673430585E-2</v>
      </c>
    </row>
    <row r="2688" spans="27:29">
      <c r="AA2688" s="50">
        <v>411.7</v>
      </c>
      <c r="AB2688" s="51">
        <v>83.546000000000006</v>
      </c>
      <c r="AC2688" s="52">
        <f t="shared" si="573"/>
        <v>7.8074338344055902E-2</v>
      </c>
    </row>
    <row r="2689" spans="27:29">
      <c r="AA2689" s="50">
        <v>411.6</v>
      </c>
      <c r="AB2689" s="51">
        <v>83.816999999999993</v>
      </c>
      <c r="AC2689" s="52">
        <f t="shared" si="573"/>
        <v>7.6667887605753632E-2</v>
      </c>
    </row>
    <row r="2690" spans="27:29">
      <c r="AA2690" s="50">
        <v>411.5</v>
      </c>
      <c r="AB2690" s="51">
        <v>84.117999999999995</v>
      </c>
      <c r="AC2690" s="52">
        <f t="shared" si="573"/>
        <v>7.5111061702425583E-2</v>
      </c>
    </row>
    <row r="2691" spans="27:29">
      <c r="AA2691" s="50">
        <v>411.4</v>
      </c>
      <c r="AB2691" s="51">
        <v>84.391999999999996</v>
      </c>
      <c r="AC2691" s="52">
        <f t="shared" si="573"/>
        <v>7.3698720679167773E-2</v>
      </c>
    </row>
    <row r="2692" spans="27:29">
      <c r="AA2692" s="50">
        <v>411.3</v>
      </c>
      <c r="AB2692" s="51">
        <v>84.608000000000004</v>
      </c>
      <c r="AC2692" s="52">
        <f t="shared" si="573"/>
        <v>7.258857086649137E-2</v>
      </c>
    </row>
    <row r="2693" spans="27:29">
      <c r="AA2693" s="50">
        <v>411.2</v>
      </c>
      <c r="AB2693" s="51">
        <v>84.85</v>
      </c>
      <c r="AC2693" s="52">
        <f t="shared" si="573"/>
        <v>7.134815334630544E-2</v>
      </c>
    </row>
    <row r="2694" spans="27:29">
      <c r="AA2694" s="50">
        <v>411.1</v>
      </c>
      <c r="AB2694" s="51">
        <v>85.067999999999998</v>
      </c>
      <c r="AC2694" s="52">
        <f t="shared" si="573"/>
        <v>7.023377760034373E-2</v>
      </c>
    </row>
    <row r="2695" spans="27:29">
      <c r="AA2695" s="50">
        <v>411</v>
      </c>
      <c r="AB2695" s="51">
        <v>85.251999999999995</v>
      </c>
      <c r="AC2695" s="52">
        <f t="shared" si="573"/>
        <v>6.9295423728130523E-2</v>
      </c>
    </row>
    <row r="2696" spans="27:29">
      <c r="AA2696" s="50">
        <v>410.9</v>
      </c>
      <c r="AB2696" s="51">
        <v>85.495999999999995</v>
      </c>
      <c r="AC2696" s="52">
        <f t="shared" si="573"/>
        <v>6.8054203617612441E-2</v>
      </c>
    </row>
    <row r="2697" spans="27:29">
      <c r="AA2697" s="50">
        <v>410.8</v>
      </c>
      <c r="AB2697" s="51">
        <v>85.688999999999993</v>
      </c>
      <c r="AC2697" s="52">
        <f t="shared" si="573"/>
        <v>6.7074925403730612E-2</v>
      </c>
    </row>
    <row r="2698" spans="27:29">
      <c r="AA2698" s="50">
        <v>410.7</v>
      </c>
      <c r="AB2698" s="51">
        <v>85.831999999999994</v>
      </c>
      <c r="AC2698" s="52">
        <f t="shared" ref="AC2698:AC2761" si="574">-LOG(AB2698/100)</f>
        <v>6.635076771690078E-2</v>
      </c>
    </row>
    <row r="2699" spans="27:29">
      <c r="AA2699" s="50">
        <v>410.6</v>
      </c>
      <c r="AB2699" s="51">
        <v>85.975999999999999</v>
      </c>
      <c r="AC2699" s="52">
        <f t="shared" si="574"/>
        <v>6.5622764131058317E-2</v>
      </c>
    </row>
    <row r="2700" spans="27:29">
      <c r="AA2700" s="50">
        <v>410.5</v>
      </c>
      <c r="AB2700" s="51">
        <v>86.082999999999998</v>
      </c>
      <c r="AC2700" s="52">
        <f t="shared" si="574"/>
        <v>6.5082606213668334E-2</v>
      </c>
    </row>
    <row r="2701" spans="27:29">
      <c r="AA2701" s="50">
        <v>410.4</v>
      </c>
      <c r="AB2701" s="51">
        <v>86.281000000000006</v>
      </c>
      <c r="AC2701" s="52">
        <f t="shared" si="574"/>
        <v>6.4084830051120381E-2</v>
      </c>
    </row>
    <row r="2702" spans="27:29">
      <c r="AA2702" s="50">
        <v>410.3</v>
      </c>
      <c r="AB2702" s="51">
        <v>86.409000000000006</v>
      </c>
      <c r="AC2702" s="52">
        <f t="shared" si="574"/>
        <v>6.3441020868609865E-2</v>
      </c>
    </row>
    <row r="2703" spans="27:29">
      <c r="AA2703" s="50">
        <v>410.2</v>
      </c>
      <c r="AB2703" s="51">
        <v>86.616</v>
      </c>
      <c r="AC2703" s="52">
        <f t="shared" si="574"/>
        <v>6.2401876228886773E-2</v>
      </c>
    </row>
    <row r="2704" spans="27:29">
      <c r="AA2704" s="50">
        <v>410.1</v>
      </c>
      <c r="AB2704" s="51">
        <v>86.703000000000003</v>
      </c>
      <c r="AC2704" s="52">
        <f t="shared" si="574"/>
        <v>6.1965875293051559E-2</v>
      </c>
    </row>
    <row r="2705" spans="27:29">
      <c r="AA2705" s="50">
        <v>410</v>
      </c>
      <c r="AB2705" s="51">
        <v>86.724999999999994</v>
      </c>
      <c r="AC2705" s="52">
        <f t="shared" si="574"/>
        <v>6.1855691485902586E-2</v>
      </c>
    </row>
    <row r="2706" spans="27:29">
      <c r="AA2706" s="50">
        <v>409.9</v>
      </c>
      <c r="AB2706" s="51">
        <v>86.813000000000002</v>
      </c>
      <c r="AC2706" s="52">
        <f t="shared" si="574"/>
        <v>6.1415235589403545E-2</v>
      </c>
    </row>
    <row r="2707" spans="27:29">
      <c r="AA2707" s="50">
        <v>409.8</v>
      </c>
      <c r="AB2707" s="51">
        <v>86.885999999999996</v>
      </c>
      <c r="AC2707" s="52">
        <f t="shared" si="574"/>
        <v>6.105019607800196E-2</v>
      </c>
    </row>
    <row r="2708" spans="27:29">
      <c r="AA2708" s="50">
        <v>409.7</v>
      </c>
      <c r="AB2708" s="51">
        <v>87.015000000000001</v>
      </c>
      <c r="AC2708" s="52">
        <f t="shared" si="574"/>
        <v>6.0405875476721729E-2</v>
      </c>
    </row>
    <row r="2709" spans="27:29">
      <c r="AA2709" s="50">
        <v>409.6</v>
      </c>
      <c r="AB2709" s="51">
        <v>87.117999999999995</v>
      </c>
      <c r="AC2709" s="52">
        <f t="shared" si="574"/>
        <v>5.989210339615187E-2</v>
      </c>
    </row>
    <row r="2710" spans="27:29">
      <c r="AA2710" s="50">
        <v>409.5</v>
      </c>
      <c r="AB2710" s="51">
        <v>87.233000000000004</v>
      </c>
      <c r="AC2710" s="52">
        <f t="shared" si="574"/>
        <v>5.931919159568385E-2</v>
      </c>
    </row>
    <row r="2711" spans="27:29">
      <c r="AA2711" s="50">
        <v>409.4</v>
      </c>
      <c r="AB2711" s="51">
        <v>87.242999999999995</v>
      </c>
      <c r="AC2711" s="52">
        <f t="shared" si="574"/>
        <v>5.9269408876871148E-2</v>
      </c>
    </row>
    <row r="2712" spans="27:29">
      <c r="AA2712" s="50">
        <v>409.3</v>
      </c>
      <c r="AB2712" s="51">
        <v>87.259</v>
      </c>
      <c r="AC2712" s="52">
        <f t="shared" si="574"/>
        <v>5.918976839447064E-2</v>
      </c>
    </row>
    <row r="2713" spans="27:29">
      <c r="AA2713" s="50">
        <v>409.2</v>
      </c>
      <c r="AB2713" s="51">
        <v>87.394999999999996</v>
      </c>
      <c r="AC2713" s="52">
        <f t="shared" si="574"/>
        <v>5.8513413298376601E-2</v>
      </c>
    </row>
    <row r="2714" spans="27:29">
      <c r="AA2714" s="50">
        <v>409.1</v>
      </c>
      <c r="AB2714" s="51">
        <v>87.447999999999993</v>
      </c>
      <c r="AC2714" s="52">
        <f t="shared" si="574"/>
        <v>5.8250118705560454E-2</v>
      </c>
    </row>
    <row r="2715" spans="27:29">
      <c r="AA2715" s="50">
        <v>409</v>
      </c>
      <c r="AB2715" s="51">
        <v>87.494</v>
      </c>
      <c r="AC2715" s="52">
        <f t="shared" si="574"/>
        <v>5.8021728191813393E-2</v>
      </c>
    </row>
    <row r="2716" spans="27:29">
      <c r="AA2716" s="50">
        <v>408.9</v>
      </c>
      <c r="AB2716" s="51">
        <v>87.572999999999993</v>
      </c>
      <c r="AC2716" s="52">
        <f t="shared" si="574"/>
        <v>5.7629772353201096E-2</v>
      </c>
    </row>
    <row r="2717" spans="27:29">
      <c r="AA2717" s="50">
        <v>408.8</v>
      </c>
      <c r="AB2717" s="51">
        <v>87.616</v>
      </c>
      <c r="AC2717" s="52">
        <f t="shared" si="574"/>
        <v>5.7416577882122809E-2</v>
      </c>
    </row>
    <row r="2718" spans="27:29">
      <c r="AA2718" s="50">
        <v>408.7</v>
      </c>
      <c r="AB2718" s="51">
        <v>87.617000000000004</v>
      </c>
      <c r="AC2718" s="52">
        <f t="shared" si="574"/>
        <v>5.7411621116195091E-2</v>
      </c>
    </row>
    <row r="2719" spans="27:29">
      <c r="AA2719" s="50">
        <v>408.6</v>
      </c>
      <c r="AB2719" s="51">
        <v>87.679000000000002</v>
      </c>
      <c r="AC2719" s="52">
        <f t="shared" si="574"/>
        <v>5.7104412064068598E-2</v>
      </c>
    </row>
    <row r="2720" spans="27:29">
      <c r="AA2720" s="50">
        <v>408.5</v>
      </c>
      <c r="AB2720" s="51">
        <v>87.725999999999999</v>
      </c>
      <c r="AC2720" s="52">
        <f t="shared" si="574"/>
        <v>5.6871672505470372E-2</v>
      </c>
    </row>
    <row r="2721" spans="27:29">
      <c r="AA2721" s="50">
        <v>408.4</v>
      </c>
      <c r="AB2721" s="51">
        <v>87.772000000000006</v>
      </c>
      <c r="AC2721" s="52">
        <f t="shared" si="574"/>
        <v>5.6644005561971855E-2</v>
      </c>
    </row>
    <row r="2722" spans="27:29">
      <c r="AA2722" s="50">
        <v>408.3</v>
      </c>
      <c r="AB2722" s="51">
        <v>87.822000000000003</v>
      </c>
      <c r="AC2722" s="52">
        <f t="shared" si="574"/>
        <v>5.6396676784427675E-2</v>
      </c>
    </row>
    <row r="2723" spans="27:29">
      <c r="AA2723" s="50">
        <v>408.2</v>
      </c>
      <c r="AB2723" s="51">
        <v>87.832999999999998</v>
      </c>
      <c r="AC2723" s="52">
        <f t="shared" si="574"/>
        <v>5.6342283350626438E-2</v>
      </c>
    </row>
    <row r="2724" spans="27:29">
      <c r="AA2724" s="50">
        <v>408.1</v>
      </c>
      <c r="AB2724" s="51">
        <v>87.935000000000002</v>
      </c>
      <c r="AC2724" s="52">
        <f t="shared" si="574"/>
        <v>5.5838232077052831E-2</v>
      </c>
    </row>
    <row r="2725" spans="27:29">
      <c r="AA2725" s="50">
        <v>408</v>
      </c>
      <c r="AB2725" s="51">
        <v>87.882000000000005</v>
      </c>
      <c r="AC2725" s="52">
        <f t="shared" si="574"/>
        <v>5.6100068056942058E-2</v>
      </c>
    </row>
    <row r="2726" spans="27:29">
      <c r="AA2726" s="50">
        <v>407.9</v>
      </c>
      <c r="AB2726" s="51">
        <v>87.867999999999995</v>
      </c>
      <c r="AC2726" s="52">
        <f t="shared" si="574"/>
        <v>5.6169258643110044E-2</v>
      </c>
    </row>
    <row r="2727" spans="27:29">
      <c r="AA2727" s="50">
        <v>407.8</v>
      </c>
      <c r="AB2727" s="51">
        <v>87.924000000000007</v>
      </c>
      <c r="AC2727" s="52">
        <f t="shared" si="574"/>
        <v>5.589256241336963E-2</v>
      </c>
    </row>
    <row r="2728" spans="27:29">
      <c r="AA2728" s="50">
        <v>407.7</v>
      </c>
      <c r="AB2728" s="51">
        <v>87.981999999999999</v>
      </c>
      <c r="AC2728" s="52">
        <f t="shared" si="574"/>
        <v>5.5606169898467228E-2</v>
      </c>
    </row>
    <row r="2729" spans="27:29">
      <c r="AA2729" s="50">
        <v>407.6</v>
      </c>
      <c r="AB2729" s="51">
        <v>88.061999999999998</v>
      </c>
      <c r="AC2729" s="52">
        <f t="shared" si="574"/>
        <v>5.5211455384551758E-2</v>
      </c>
    </row>
    <row r="2730" spans="27:29">
      <c r="AA2730" s="50">
        <v>407.5</v>
      </c>
      <c r="AB2730" s="51">
        <v>88.085999999999999</v>
      </c>
      <c r="AC2730" s="52">
        <f t="shared" si="574"/>
        <v>5.5093110951118782E-2</v>
      </c>
    </row>
    <row r="2731" spans="27:29">
      <c r="AA2731" s="50">
        <v>407.4</v>
      </c>
      <c r="AB2731" s="51">
        <v>88.128</v>
      </c>
      <c r="AC2731" s="52">
        <f t="shared" si="574"/>
        <v>5.4886085759189178E-2</v>
      </c>
    </row>
    <row r="2732" spans="27:29">
      <c r="AA2732" s="50">
        <v>407.3</v>
      </c>
      <c r="AB2732" s="51">
        <v>88.102999999999994</v>
      </c>
      <c r="AC2732" s="52">
        <f t="shared" si="574"/>
        <v>5.5009303151366616E-2</v>
      </c>
    </row>
    <row r="2733" spans="27:29">
      <c r="AA2733" s="50">
        <v>407.2</v>
      </c>
      <c r="AB2733" s="51">
        <v>88.096999999999994</v>
      </c>
      <c r="AC2733" s="52">
        <f t="shared" si="574"/>
        <v>5.5038880528125181E-2</v>
      </c>
    </row>
    <row r="2734" spans="27:29">
      <c r="AA2734" s="50">
        <v>407.1</v>
      </c>
      <c r="AB2734" s="51">
        <v>88.144000000000005</v>
      </c>
      <c r="AC2734" s="52">
        <f t="shared" si="574"/>
        <v>5.480724497075383E-2</v>
      </c>
    </row>
    <row r="2735" spans="27:29">
      <c r="AA2735" s="50">
        <v>407</v>
      </c>
      <c r="AB2735" s="51">
        <v>88.213999999999999</v>
      </c>
      <c r="AC2735" s="52">
        <f t="shared" si="574"/>
        <v>5.4462484706635145E-2</v>
      </c>
    </row>
    <row r="2736" spans="27:29">
      <c r="AA2736" s="50">
        <v>406.9</v>
      </c>
      <c r="AB2736" s="51">
        <v>88.247</v>
      </c>
      <c r="AC2736" s="52">
        <f t="shared" si="574"/>
        <v>5.4300049742876826E-2</v>
      </c>
    </row>
    <row r="2737" spans="27:29">
      <c r="AA2737" s="50">
        <v>406.8</v>
      </c>
      <c r="AB2737" s="51">
        <v>88.221999999999994</v>
      </c>
      <c r="AC2737" s="52">
        <f t="shared" si="574"/>
        <v>5.4423100954366886E-2</v>
      </c>
    </row>
    <row r="2738" spans="27:29">
      <c r="AA2738" s="50">
        <v>406.7</v>
      </c>
      <c r="AB2738" s="51">
        <v>88.23</v>
      </c>
      <c r="AC2738" s="52">
        <f t="shared" si="574"/>
        <v>5.4383720773268175E-2</v>
      </c>
    </row>
    <row r="2739" spans="27:29">
      <c r="AA2739" s="50">
        <v>406.6</v>
      </c>
      <c r="AB2739" s="51">
        <v>88.156999999999996</v>
      </c>
      <c r="AC2739" s="52">
        <f t="shared" si="574"/>
        <v>5.4743197367223807E-2</v>
      </c>
    </row>
    <row r="2740" spans="27:29">
      <c r="AA2740" s="50">
        <v>406.5</v>
      </c>
      <c r="AB2740" s="51">
        <v>88.266999999999996</v>
      </c>
      <c r="AC2740" s="52">
        <f t="shared" si="574"/>
        <v>5.4201633870195519E-2</v>
      </c>
    </row>
    <row r="2741" spans="27:29">
      <c r="AA2741" s="50">
        <v>406.4</v>
      </c>
      <c r="AB2741" s="51">
        <v>88.305000000000007</v>
      </c>
      <c r="AC2741" s="52">
        <f t="shared" si="574"/>
        <v>5.4014705132149697E-2</v>
      </c>
    </row>
    <row r="2742" spans="27:29">
      <c r="AA2742" s="50">
        <v>406.3</v>
      </c>
      <c r="AB2742" s="51">
        <v>88.388999999999996</v>
      </c>
      <c r="AC2742" s="52">
        <f t="shared" si="574"/>
        <v>5.3601779518058404E-2</v>
      </c>
    </row>
    <row r="2743" spans="27:29">
      <c r="AA2743" s="50">
        <v>406.2</v>
      </c>
      <c r="AB2743" s="51">
        <v>88.387</v>
      </c>
      <c r="AC2743" s="52">
        <f t="shared" si="574"/>
        <v>5.3611606519052203E-2</v>
      </c>
    </row>
    <row r="2744" spans="27:29">
      <c r="AA2744" s="50">
        <v>406.1</v>
      </c>
      <c r="AB2744" s="51">
        <v>88.385999999999996</v>
      </c>
      <c r="AC2744" s="52">
        <f t="shared" si="574"/>
        <v>5.3616520102935605E-2</v>
      </c>
    </row>
    <row r="2745" spans="27:29">
      <c r="AA2745" s="50">
        <v>406</v>
      </c>
      <c r="AB2745" s="51">
        <v>88.346000000000004</v>
      </c>
      <c r="AC2745" s="52">
        <f t="shared" si="574"/>
        <v>5.3813109057655253E-2</v>
      </c>
    </row>
    <row r="2746" spans="27:29">
      <c r="AA2746" s="50">
        <v>405.9</v>
      </c>
      <c r="AB2746" s="51">
        <v>88.352000000000004</v>
      </c>
      <c r="AC2746" s="52">
        <f t="shared" si="574"/>
        <v>5.3783615040830804E-2</v>
      </c>
    </row>
    <row r="2747" spans="27:29">
      <c r="AA2747" s="50">
        <v>405.8</v>
      </c>
      <c r="AB2747" s="51">
        <v>88.388999999999996</v>
      </c>
      <c r="AC2747" s="52">
        <f t="shared" si="574"/>
        <v>5.3601779518058404E-2</v>
      </c>
    </row>
    <row r="2748" spans="27:29">
      <c r="AA2748" s="50">
        <v>405.7</v>
      </c>
      <c r="AB2748" s="51">
        <v>88.432000000000002</v>
      </c>
      <c r="AC2748" s="52">
        <f t="shared" si="574"/>
        <v>5.3390552762300078E-2</v>
      </c>
    </row>
    <row r="2749" spans="27:29">
      <c r="AA2749" s="50">
        <v>405.6</v>
      </c>
      <c r="AB2749" s="51">
        <v>88.436999999999998</v>
      </c>
      <c r="AC2749" s="52">
        <f t="shared" si="574"/>
        <v>5.3365998177719469E-2</v>
      </c>
    </row>
    <row r="2750" spans="27:29">
      <c r="AA2750" s="50">
        <v>405.5</v>
      </c>
      <c r="AB2750" s="51">
        <v>88.456000000000003</v>
      </c>
      <c r="AC2750" s="52">
        <f t="shared" si="574"/>
        <v>5.3272703415485852E-2</v>
      </c>
    </row>
    <row r="2751" spans="27:29">
      <c r="AA2751" s="50">
        <v>405.4</v>
      </c>
      <c r="AB2751" s="51">
        <v>88.41</v>
      </c>
      <c r="AC2751" s="52">
        <f t="shared" si="574"/>
        <v>5.3498609430412424E-2</v>
      </c>
    </row>
    <row r="2752" spans="27:29">
      <c r="AA2752" s="50">
        <v>405.3</v>
      </c>
      <c r="AB2752" s="51">
        <v>88.478999999999999</v>
      </c>
      <c r="AC2752" s="52">
        <f t="shared" si="574"/>
        <v>5.3159794458636896E-2</v>
      </c>
    </row>
    <row r="2753" spans="27:29">
      <c r="AA2753" s="50">
        <v>405.2</v>
      </c>
      <c r="AB2753" s="51">
        <v>88.475999999999999</v>
      </c>
      <c r="AC2753" s="52">
        <f t="shared" si="574"/>
        <v>5.3174520049276704E-2</v>
      </c>
    </row>
    <row r="2754" spans="27:29">
      <c r="AA2754" s="50">
        <v>405.1</v>
      </c>
      <c r="AB2754" s="51">
        <v>88.51</v>
      </c>
      <c r="AC2754" s="52">
        <f t="shared" si="574"/>
        <v>5.3007659251627676E-2</v>
      </c>
    </row>
    <row r="2755" spans="27:29">
      <c r="AA2755" s="50">
        <v>405</v>
      </c>
      <c r="AB2755" s="51">
        <v>88.516000000000005</v>
      </c>
      <c r="AC2755" s="52">
        <f t="shared" si="574"/>
        <v>5.297821988235514E-2</v>
      </c>
    </row>
    <row r="2756" spans="27:29">
      <c r="AA2756" s="50">
        <v>404.9</v>
      </c>
      <c r="AB2756" s="51">
        <v>88.566999999999993</v>
      </c>
      <c r="AC2756" s="52">
        <f t="shared" si="574"/>
        <v>5.2728065782984335E-2</v>
      </c>
    </row>
    <row r="2757" spans="27:29">
      <c r="AA2757" s="50">
        <v>404.8</v>
      </c>
      <c r="AB2757" s="51">
        <v>88.528999999999996</v>
      </c>
      <c r="AC2757" s="52">
        <f t="shared" si="574"/>
        <v>5.2914441427443872E-2</v>
      </c>
    </row>
    <row r="2758" spans="27:29">
      <c r="AA2758" s="50">
        <v>404.7</v>
      </c>
      <c r="AB2758" s="51">
        <v>88.510999999999996</v>
      </c>
      <c r="AC2758" s="52">
        <f t="shared" si="574"/>
        <v>5.3002752551497119E-2</v>
      </c>
    </row>
    <row r="2759" spans="27:29">
      <c r="AA2759" s="50">
        <v>404.6</v>
      </c>
      <c r="AB2759" s="51">
        <v>88.495000000000005</v>
      </c>
      <c r="AC2759" s="52">
        <f t="shared" si="574"/>
        <v>5.3081266406726599E-2</v>
      </c>
    </row>
    <row r="2760" spans="27:29">
      <c r="AA2760" s="50">
        <v>404.5</v>
      </c>
      <c r="AB2760" s="51">
        <v>88.424000000000007</v>
      </c>
      <c r="AC2760" s="52">
        <f t="shared" si="574"/>
        <v>5.3429842985505335E-2</v>
      </c>
    </row>
    <row r="2761" spans="27:29">
      <c r="AA2761" s="50">
        <v>404.4</v>
      </c>
      <c r="AB2761" s="51">
        <v>88.516999999999996</v>
      </c>
      <c r="AC2761" s="52">
        <f t="shared" si="574"/>
        <v>5.2973313514820208E-2</v>
      </c>
    </row>
    <row r="2762" spans="27:29">
      <c r="AA2762" s="50">
        <v>404.3</v>
      </c>
      <c r="AB2762" s="51">
        <v>88.516000000000005</v>
      </c>
      <c r="AC2762" s="52">
        <f t="shared" ref="AC2762:AC2825" si="575">-LOG(AB2762/100)</f>
        <v>5.297821988235514E-2</v>
      </c>
    </row>
    <row r="2763" spans="27:29">
      <c r="AA2763" s="50">
        <v>404.2</v>
      </c>
      <c r="AB2763" s="51">
        <v>88.503</v>
      </c>
      <c r="AC2763" s="52">
        <f t="shared" si="575"/>
        <v>5.3042007704847585E-2</v>
      </c>
    </row>
    <row r="2764" spans="27:29">
      <c r="AA2764" s="50">
        <v>404.1</v>
      </c>
      <c r="AB2764" s="51">
        <v>88.563999999999993</v>
      </c>
      <c r="AC2764" s="52">
        <f t="shared" si="575"/>
        <v>5.2742776742057941E-2</v>
      </c>
    </row>
    <row r="2765" spans="27:29">
      <c r="AA2765" s="50">
        <v>404</v>
      </c>
      <c r="AB2765" s="51">
        <v>88.503</v>
      </c>
      <c r="AC2765" s="52">
        <f t="shared" si="575"/>
        <v>5.3042007704847585E-2</v>
      </c>
    </row>
    <row r="2766" spans="27:29">
      <c r="AA2766" s="50">
        <v>403.9</v>
      </c>
      <c r="AB2766" s="51">
        <v>88.510999999999996</v>
      </c>
      <c r="AC2766" s="52">
        <f t="shared" si="575"/>
        <v>5.3002752551497119E-2</v>
      </c>
    </row>
    <row r="2767" spans="27:29">
      <c r="AA2767" s="50">
        <v>403.8</v>
      </c>
      <c r="AB2767" s="51">
        <v>88.495000000000005</v>
      </c>
      <c r="AC2767" s="52">
        <f t="shared" si="575"/>
        <v>5.3081266406726599E-2</v>
      </c>
    </row>
    <row r="2768" spans="27:29">
      <c r="AA2768" s="50">
        <v>403.7</v>
      </c>
      <c r="AB2768" s="51">
        <v>88.58</v>
      </c>
      <c r="AC2768" s="52">
        <f t="shared" si="575"/>
        <v>5.2664324051260057E-2</v>
      </c>
    </row>
    <row r="2769" spans="27:29">
      <c r="AA2769" s="50">
        <v>403.6</v>
      </c>
      <c r="AB2769" s="51">
        <v>88.557000000000002</v>
      </c>
      <c r="AC2769" s="52">
        <f t="shared" si="575"/>
        <v>5.2777104251217288E-2</v>
      </c>
    </row>
    <row r="2770" spans="27:29">
      <c r="AA2770" s="50">
        <v>403.5</v>
      </c>
      <c r="AB2770" s="51">
        <v>88.534000000000006</v>
      </c>
      <c r="AC2770" s="52">
        <f t="shared" si="575"/>
        <v>5.2889913746221956E-2</v>
      </c>
    </row>
    <row r="2771" spans="27:29">
      <c r="AA2771" s="50">
        <v>403.4</v>
      </c>
      <c r="AB2771" s="51">
        <v>88.435000000000002</v>
      </c>
      <c r="AC2771" s="52">
        <f t="shared" si="575"/>
        <v>5.337581984495729E-2</v>
      </c>
    </row>
    <row r="2772" spans="27:29">
      <c r="AA2772" s="50">
        <v>403.3</v>
      </c>
      <c r="AB2772" s="51">
        <v>88.418999999999997</v>
      </c>
      <c r="AC2772" s="52">
        <f t="shared" si="575"/>
        <v>5.345440118017631E-2</v>
      </c>
    </row>
    <row r="2773" spans="27:29">
      <c r="AA2773" s="50">
        <v>403.2</v>
      </c>
      <c r="AB2773" s="51">
        <v>88.435000000000002</v>
      </c>
      <c r="AC2773" s="52">
        <f t="shared" si="575"/>
        <v>5.337581984495729E-2</v>
      </c>
    </row>
    <row r="2774" spans="27:29">
      <c r="AA2774" s="50">
        <v>403.1</v>
      </c>
      <c r="AB2774" s="51">
        <v>88.474999999999994</v>
      </c>
      <c r="AC2774" s="52">
        <f t="shared" si="575"/>
        <v>5.317942869044754E-2</v>
      </c>
    </row>
    <row r="2775" spans="27:29">
      <c r="AA2775" s="50">
        <v>403</v>
      </c>
      <c r="AB2775" s="51">
        <v>88.533000000000001</v>
      </c>
      <c r="AC2775" s="52">
        <f t="shared" si="575"/>
        <v>5.2894819171647428E-2</v>
      </c>
    </row>
    <row r="2776" spans="27:29">
      <c r="AA2776" s="50">
        <v>402.9</v>
      </c>
      <c r="AB2776" s="51">
        <v>88.519000000000005</v>
      </c>
      <c r="AC2776" s="52">
        <f t="shared" si="575"/>
        <v>5.2963500946033699E-2</v>
      </c>
    </row>
    <row r="2777" spans="27:29">
      <c r="AA2777" s="50">
        <v>402.8</v>
      </c>
      <c r="AB2777" s="51">
        <v>88.465000000000003</v>
      </c>
      <c r="AC2777" s="52">
        <f t="shared" si="575"/>
        <v>5.322851815380971E-2</v>
      </c>
    </row>
    <row r="2778" spans="27:29">
      <c r="AA2778" s="50">
        <v>402.7</v>
      </c>
      <c r="AB2778" s="51">
        <v>88.486000000000004</v>
      </c>
      <c r="AC2778" s="52">
        <f t="shared" si="575"/>
        <v>5.3125436688739869E-2</v>
      </c>
    </row>
    <row r="2779" spans="27:29">
      <c r="AA2779" s="50">
        <v>402.6</v>
      </c>
      <c r="AB2779" s="51">
        <v>88.441000000000003</v>
      </c>
      <c r="AC2779" s="52">
        <f t="shared" si="575"/>
        <v>5.3346355509576331E-2</v>
      </c>
    </row>
    <row r="2780" spans="27:29">
      <c r="AA2780" s="50">
        <v>402.5</v>
      </c>
      <c r="AB2780" s="51">
        <v>88.415000000000006</v>
      </c>
      <c r="AC2780" s="52">
        <f t="shared" si="575"/>
        <v>5.3474048735826257E-2</v>
      </c>
    </row>
    <row r="2781" spans="27:29">
      <c r="AA2781" s="50">
        <v>402.4</v>
      </c>
      <c r="AB2781" s="51">
        <v>88.492000000000004</v>
      </c>
      <c r="AC2781" s="52">
        <f t="shared" si="575"/>
        <v>5.309598933491718E-2</v>
      </c>
    </row>
    <row r="2782" spans="27:29">
      <c r="AA2782" s="50">
        <v>402.3</v>
      </c>
      <c r="AB2782" s="51">
        <v>88.492999999999995</v>
      </c>
      <c r="AC2782" s="52">
        <f t="shared" si="575"/>
        <v>5.3091081636729133E-2</v>
      </c>
    </row>
    <row r="2783" spans="27:29">
      <c r="AA2783" s="50">
        <v>402.2</v>
      </c>
      <c r="AB2783" s="51">
        <v>88.501000000000005</v>
      </c>
      <c r="AC2783" s="52">
        <f t="shared" si="575"/>
        <v>5.3051822047617686E-2</v>
      </c>
    </row>
    <row r="2784" spans="27:29">
      <c r="AA2784" s="50">
        <v>402.1</v>
      </c>
      <c r="AB2784" s="51">
        <v>88.438999999999993</v>
      </c>
      <c r="AC2784" s="52">
        <f t="shared" si="575"/>
        <v>5.3356176732595878E-2</v>
      </c>
    </row>
    <row r="2785" spans="27:29">
      <c r="AA2785" s="50">
        <v>402</v>
      </c>
      <c r="AB2785" s="51">
        <v>88.477000000000004</v>
      </c>
      <c r="AC2785" s="52">
        <f t="shared" si="575"/>
        <v>5.3169611463585467E-2</v>
      </c>
    </row>
    <row r="2786" spans="27:29">
      <c r="AA2786" s="50">
        <v>401.9</v>
      </c>
      <c r="AB2786" s="51">
        <v>88.474000000000004</v>
      </c>
      <c r="AC2786" s="52">
        <f t="shared" si="575"/>
        <v>5.3184337387099129E-2</v>
      </c>
    </row>
    <row r="2787" spans="27:29">
      <c r="AA2787" s="50">
        <v>401.8</v>
      </c>
      <c r="AB2787" s="51">
        <v>88.465999999999994</v>
      </c>
      <c r="AC2787" s="52">
        <f t="shared" si="575"/>
        <v>5.3223608957773956E-2</v>
      </c>
    </row>
    <row r="2788" spans="27:29">
      <c r="AA2788" s="50">
        <v>401.7</v>
      </c>
      <c r="AB2788" s="51">
        <v>88.468999999999994</v>
      </c>
      <c r="AC2788" s="52">
        <f t="shared" si="575"/>
        <v>5.3208881702614286E-2</v>
      </c>
    </row>
    <row r="2789" spans="27:29">
      <c r="AA2789" s="50">
        <v>401.6</v>
      </c>
      <c r="AB2789" s="51">
        <v>88.474999999999994</v>
      </c>
      <c r="AC2789" s="52">
        <f t="shared" si="575"/>
        <v>5.317942869044754E-2</v>
      </c>
    </row>
    <row r="2790" spans="27:29">
      <c r="AA2790" s="50">
        <v>401.5</v>
      </c>
      <c r="AB2790" s="51">
        <v>88.52</v>
      </c>
      <c r="AC2790" s="52">
        <f t="shared" si="575"/>
        <v>5.2958594744779666E-2</v>
      </c>
    </row>
    <row r="2791" spans="27:29">
      <c r="AA2791" s="50">
        <v>401.4</v>
      </c>
      <c r="AB2791" s="51">
        <v>88.45</v>
      </c>
      <c r="AC2791" s="52">
        <f t="shared" si="575"/>
        <v>5.3302162754258045E-2</v>
      </c>
    </row>
    <row r="2792" spans="27:29">
      <c r="AA2792" s="50">
        <v>401.3</v>
      </c>
      <c r="AB2792" s="51">
        <v>88.435000000000002</v>
      </c>
      <c r="AC2792" s="52">
        <f t="shared" si="575"/>
        <v>5.337581984495729E-2</v>
      </c>
    </row>
    <row r="2793" spans="27:29">
      <c r="AA2793" s="50">
        <v>401.2</v>
      </c>
      <c r="AB2793" s="51">
        <v>88.495999999999995</v>
      </c>
      <c r="AC2793" s="52">
        <f t="shared" si="575"/>
        <v>5.3076358874909656E-2</v>
      </c>
    </row>
    <row r="2794" spans="27:29">
      <c r="AA2794" s="50">
        <v>401.1</v>
      </c>
      <c r="AB2794" s="51">
        <v>88.555000000000007</v>
      </c>
      <c r="AC2794" s="52">
        <f t="shared" si="575"/>
        <v>5.2786912609361733E-2</v>
      </c>
    </row>
    <row r="2795" spans="27:29">
      <c r="AA2795" s="50">
        <v>401</v>
      </c>
      <c r="AB2795" s="51">
        <v>88.599000000000004</v>
      </c>
      <c r="AC2795" s="52">
        <f t="shared" si="575"/>
        <v>5.2571179884199709E-2</v>
      </c>
    </row>
    <row r="2796" spans="27:29">
      <c r="AA2796" s="50">
        <v>400.9</v>
      </c>
      <c r="AB2796" s="51">
        <v>88.587999999999994</v>
      </c>
      <c r="AC2796" s="52">
        <f t="shared" si="575"/>
        <v>5.2625103019724104E-2</v>
      </c>
    </row>
    <row r="2797" spans="27:29">
      <c r="AA2797" s="50">
        <v>400.8</v>
      </c>
      <c r="AB2797" s="51">
        <v>88.540999999999997</v>
      </c>
      <c r="AC2797" s="52">
        <f t="shared" si="575"/>
        <v>5.2855577319567693E-2</v>
      </c>
    </row>
    <row r="2798" spans="27:29">
      <c r="AA2798" s="50">
        <v>400.7</v>
      </c>
      <c r="AB2798" s="51">
        <v>88.518000000000001</v>
      </c>
      <c r="AC2798" s="52">
        <f t="shared" si="575"/>
        <v>5.2968407202713494E-2</v>
      </c>
    </row>
    <row r="2799" spans="27:29">
      <c r="AA2799" s="50">
        <v>400.6</v>
      </c>
      <c r="AB2799" s="51">
        <v>88.536000000000001</v>
      </c>
      <c r="AC2799" s="52">
        <f t="shared" si="575"/>
        <v>5.2880103061590522E-2</v>
      </c>
    </row>
    <row r="2800" spans="27:29">
      <c r="AA2800" s="50">
        <v>400.5</v>
      </c>
      <c r="AB2800" s="51">
        <v>88.593999999999994</v>
      </c>
      <c r="AC2800" s="52">
        <f t="shared" si="575"/>
        <v>5.2595689570362224E-2</v>
      </c>
    </row>
    <row r="2801" spans="27:29">
      <c r="AA2801" s="50">
        <v>400.4</v>
      </c>
      <c r="AB2801" s="51">
        <v>88.566999999999993</v>
      </c>
      <c r="AC2801" s="52">
        <f t="shared" si="575"/>
        <v>5.2728065782984335E-2</v>
      </c>
    </row>
    <row r="2802" spans="27:29">
      <c r="AA2802" s="50">
        <v>400.3</v>
      </c>
      <c r="AB2802" s="51">
        <v>88.59</v>
      </c>
      <c r="AC2802" s="52">
        <f t="shared" si="575"/>
        <v>5.2615298315259108E-2</v>
      </c>
    </row>
    <row r="2803" spans="27:29">
      <c r="AA2803" s="50">
        <v>400.2</v>
      </c>
      <c r="AB2803" s="51">
        <v>88.525000000000006</v>
      </c>
      <c r="AC2803" s="52">
        <f t="shared" si="575"/>
        <v>5.293406456985128E-2</v>
      </c>
    </row>
    <row r="2804" spans="27:29">
      <c r="AA2804" s="50">
        <v>400.1</v>
      </c>
      <c r="AB2804" s="51">
        <v>88.561000000000007</v>
      </c>
      <c r="AC2804" s="52">
        <f t="shared" si="575"/>
        <v>5.2757488199456144E-2</v>
      </c>
    </row>
    <row r="2805" spans="27:29">
      <c r="AA2805" s="50">
        <v>400</v>
      </c>
      <c r="AB2805" s="51">
        <v>88.548000000000002</v>
      </c>
      <c r="AC2805" s="52">
        <f t="shared" si="575"/>
        <v>5.2821243607423948E-2</v>
      </c>
    </row>
    <row r="2806" spans="27:29">
      <c r="AA2806" s="50">
        <v>399.9</v>
      </c>
      <c r="AB2806" s="51">
        <v>88.623999999999995</v>
      </c>
      <c r="AC2806" s="52">
        <f t="shared" si="575"/>
        <v>5.2448652197391636E-2</v>
      </c>
    </row>
    <row r="2807" spans="27:29">
      <c r="AA2807" s="50">
        <v>399.8</v>
      </c>
      <c r="AB2807" s="51">
        <v>88.634</v>
      </c>
      <c r="AC2807" s="52">
        <f t="shared" si="575"/>
        <v>5.2399650800290867E-2</v>
      </c>
    </row>
    <row r="2808" spans="27:29">
      <c r="AA2808" s="50">
        <v>399.7</v>
      </c>
      <c r="AB2808" s="51">
        <v>88.688000000000002</v>
      </c>
      <c r="AC2808" s="52">
        <f t="shared" si="575"/>
        <v>5.2135138751613956E-2</v>
      </c>
    </row>
    <row r="2809" spans="27:29">
      <c r="AA2809" s="50">
        <v>399.6</v>
      </c>
      <c r="AB2809" s="51">
        <v>88.653000000000006</v>
      </c>
      <c r="AC2809" s="52">
        <f t="shared" si="575"/>
        <v>5.230656337495506E-2</v>
      </c>
    </row>
    <row r="2810" spans="27:29">
      <c r="AA2810" s="50">
        <v>399.5</v>
      </c>
      <c r="AB2810" s="51">
        <v>88.637</v>
      </c>
      <c r="AC2810" s="52">
        <f t="shared" si="575"/>
        <v>5.2384951459216095E-2</v>
      </c>
    </row>
    <row r="2811" spans="27:29">
      <c r="AA2811" s="50">
        <v>399.4</v>
      </c>
      <c r="AB2811" s="51">
        <v>88.64</v>
      </c>
      <c r="AC2811" s="52">
        <f t="shared" si="575"/>
        <v>5.2370252615645485E-2</v>
      </c>
    </row>
    <row r="2812" spans="27:29">
      <c r="AA2812" s="50">
        <v>399.3</v>
      </c>
      <c r="AB2812" s="51">
        <v>88.600999999999999</v>
      </c>
      <c r="AC2812" s="52">
        <f t="shared" si="575"/>
        <v>5.2561376397023192E-2</v>
      </c>
    </row>
    <row r="2813" spans="27:29">
      <c r="AA2813" s="50">
        <v>399.2</v>
      </c>
      <c r="AB2813" s="51">
        <v>88.623000000000005</v>
      </c>
      <c r="AC2813" s="52">
        <f t="shared" si="575"/>
        <v>5.2453552641200572E-2</v>
      </c>
    </row>
    <row r="2814" spans="27:29">
      <c r="AA2814" s="50">
        <v>399.1</v>
      </c>
      <c r="AB2814" s="51">
        <v>88.626999999999995</v>
      </c>
      <c r="AC2814" s="52">
        <f t="shared" si="575"/>
        <v>5.2433951197726328E-2</v>
      </c>
    </row>
    <row r="2815" spans="27:29">
      <c r="AA2815" s="50">
        <v>399</v>
      </c>
      <c r="AB2815" s="51">
        <v>88.597999999999999</v>
      </c>
      <c r="AC2815" s="52">
        <f t="shared" si="575"/>
        <v>5.25760817107759E-2</v>
      </c>
    </row>
    <row r="2816" spans="27:29">
      <c r="AA2816" s="50">
        <v>398.9</v>
      </c>
      <c r="AB2816" s="51">
        <v>88.626000000000005</v>
      </c>
      <c r="AC2816" s="52">
        <f t="shared" si="575"/>
        <v>5.2438851475655676E-2</v>
      </c>
    </row>
    <row r="2817" spans="27:29">
      <c r="AA2817" s="50">
        <v>398.8</v>
      </c>
      <c r="AB2817" s="51">
        <v>88.6</v>
      </c>
      <c r="AC2817" s="52">
        <f t="shared" si="575"/>
        <v>5.2566278112949297E-2</v>
      </c>
    </row>
    <row r="2818" spans="27:29">
      <c r="AA2818" s="50">
        <v>398.7</v>
      </c>
      <c r="AB2818" s="51">
        <v>88.64</v>
      </c>
      <c r="AC2818" s="52">
        <f t="shared" si="575"/>
        <v>5.2370252615645485E-2</v>
      </c>
    </row>
    <row r="2819" spans="27:29">
      <c r="AA2819" s="50">
        <v>398.6</v>
      </c>
      <c r="AB2819" s="51">
        <v>88.65</v>
      </c>
      <c r="AC2819" s="52">
        <f t="shared" si="575"/>
        <v>5.2321260063063361E-2</v>
      </c>
    </row>
    <row r="2820" spans="27:29">
      <c r="AA2820" s="50">
        <v>398.5</v>
      </c>
      <c r="AB2820" s="51">
        <v>88.622</v>
      </c>
      <c r="AC2820" s="52">
        <f t="shared" si="575"/>
        <v>5.2458453140305318E-2</v>
      </c>
    </row>
    <row r="2821" spans="27:29">
      <c r="AA2821" s="50">
        <v>398.4</v>
      </c>
      <c r="AB2821" s="51">
        <v>88.608000000000004</v>
      </c>
      <c r="AC2821" s="52">
        <f t="shared" si="575"/>
        <v>5.2527065934519487E-2</v>
      </c>
    </row>
    <row r="2822" spans="27:29">
      <c r="AA2822" s="50">
        <v>398.3</v>
      </c>
      <c r="AB2822" s="51">
        <v>88.629000000000005</v>
      </c>
      <c r="AC2822" s="52">
        <f t="shared" si="575"/>
        <v>5.2424150807738462E-2</v>
      </c>
    </row>
    <row r="2823" spans="27:29">
      <c r="AA2823" s="50">
        <v>398.2</v>
      </c>
      <c r="AB2823" s="51">
        <v>88.587999999999994</v>
      </c>
      <c r="AC2823" s="52">
        <f t="shared" si="575"/>
        <v>5.2625103019724104E-2</v>
      </c>
    </row>
    <row r="2824" spans="27:29">
      <c r="AA2824" s="50">
        <v>398.1</v>
      </c>
      <c r="AB2824" s="51">
        <v>88.555999999999997</v>
      </c>
      <c r="AC2824" s="52">
        <f t="shared" si="575"/>
        <v>5.2782008402599806E-2</v>
      </c>
    </row>
    <row r="2825" spans="27:29">
      <c r="AA2825" s="50">
        <v>398</v>
      </c>
      <c r="AB2825" s="51">
        <v>88.542000000000002</v>
      </c>
      <c r="AC2825" s="52">
        <f t="shared" si="575"/>
        <v>5.2850672337362618E-2</v>
      </c>
    </row>
    <row r="2826" spans="27:29">
      <c r="AA2826" s="50">
        <v>397.9</v>
      </c>
      <c r="AB2826" s="51">
        <v>88.555999999999997</v>
      </c>
      <c r="AC2826" s="52">
        <f t="shared" ref="AC2826:AC2889" si="576">-LOG(AB2826/100)</f>
        <v>5.2782008402599806E-2</v>
      </c>
    </row>
    <row r="2827" spans="27:29">
      <c r="AA2827" s="50">
        <v>397.8</v>
      </c>
      <c r="AB2827" s="51">
        <v>88.611999999999995</v>
      </c>
      <c r="AC2827" s="52">
        <f t="shared" si="576"/>
        <v>5.2507461172890998E-2</v>
      </c>
    </row>
    <row r="2828" spans="27:29">
      <c r="AA2828" s="50">
        <v>397.7</v>
      </c>
      <c r="AB2828" s="51">
        <v>88.655000000000001</v>
      </c>
      <c r="AC2828" s="52">
        <f t="shared" si="576"/>
        <v>5.2296765859176371E-2</v>
      </c>
    </row>
    <row r="2829" spans="27:29">
      <c r="AA2829" s="50">
        <v>397.6</v>
      </c>
      <c r="AB2829" s="51">
        <v>88.623000000000005</v>
      </c>
      <c r="AC2829" s="52">
        <f t="shared" si="576"/>
        <v>5.2453552641200572E-2</v>
      </c>
    </row>
    <row r="2830" spans="27:29">
      <c r="AA2830" s="50">
        <v>397.5</v>
      </c>
      <c r="AB2830" s="51">
        <v>88.597999999999999</v>
      </c>
      <c r="AC2830" s="52">
        <f t="shared" si="576"/>
        <v>5.25760817107759E-2</v>
      </c>
    </row>
    <row r="2831" spans="27:29">
      <c r="AA2831" s="50">
        <v>397.4</v>
      </c>
      <c r="AB2831" s="51">
        <v>88.593000000000004</v>
      </c>
      <c r="AC2831" s="52">
        <f t="shared" si="576"/>
        <v>5.260059167358544E-2</v>
      </c>
    </row>
    <row r="2832" spans="27:29">
      <c r="AA2832" s="50">
        <v>397.3</v>
      </c>
      <c r="AB2832" s="51">
        <v>88.674999999999997</v>
      </c>
      <c r="AC2832" s="52">
        <f t="shared" si="576"/>
        <v>5.2198802856019674E-2</v>
      </c>
    </row>
    <row r="2833" spans="27:29">
      <c r="AA2833" s="50">
        <v>397.2</v>
      </c>
      <c r="AB2833" s="51">
        <v>88.646000000000001</v>
      </c>
      <c r="AC2833" s="52">
        <f t="shared" si="576"/>
        <v>5.2340856420882029E-2</v>
      </c>
    </row>
    <row r="2834" spans="27:29">
      <c r="AA2834" s="50">
        <v>397.1</v>
      </c>
      <c r="AB2834" s="51">
        <v>88.593000000000004</v>
      </c>
      <c r="AC2834" s="52">
        <f t="shared" si="576"/>
        <v>5.260059167358544E-2</v>
      </c>
    </row>
    <row r="2835" spans="27:29">
      <c r="AA2835" s="50">
        <v>397</v>
      </c>
      <c r="AB2835" s="51">
        <v>88.613</v>
      </c>
      <c r="AC2835" s="52">
        <f t="shared" si="576"/>
        <v>5.2502560120760537E-2</v>
      </c>
    </row>
    <row r="2836" spans="27:29">
      <c r="AA2836" s="50">
        <v>396.9</v>
      </c>
      <c r="AB2836" s="51">
        <v>88.563999999999993</v>
      </c>
      <c r="AC2836" s="52">
        <f t="shared" si="576"/>
        <v>5.2742776742057941E-2</v>
      </c>
    </row>
    <row r="2837" spans="27:29">
      <c r="AA2837" s="50">
        <v>396.8</v>
      </c>
      <c r="AB2837" s="51">
        <v>88.587999999999994</v>
      </c>
      <c r="AC2837" s="52">
        <f t="shared" si="576"/>
        <v>5.2625103019724104E-2</v>
      </c>
    </row>
    <row r="2838" spans="27:29">
      <c r="AA2838" s="50">
        <v>396.7</v>
      </c>
      <c r="AB2838" s="51">
        <v>88.62</v>
      </c>
      <c r="AC2838" s="52">
        <f t="shared" si="576"/>
        <v>5.2468254304406825E-2</v>
      </c>
    </row>
    <row r="2839" spans="27:29">
      <c r="AA2839" s="50">
        <v>396.6</v>
      </c>
      <c r="AB2839" s="51">
        <v>88.599000000000004</v>
      </c>
      <c r="AC2839" s="52">
        <f t="shared" si="576"/>
        <v>5.2571179884199709E-2</v>
      </c>
    </row>
    <row r="2840" spans="27:29">
      <c r="AA2840" s="50">
        <v>396.5</v>
      </c>
      <c r="AB2840" s="51">
        <v>88.602999999999994</v>
      </c>
      <c r="AC2840" s="52">
        <f t="shared" si="576"/>
        <v>5.2551573131139305E-2</v>
      </c>
    </row>
    <row r="2841" spans="27:29">
      <c r="AA2841" s="50">
        <v>396.4</v>
      </c>
      <c r="AB2841" s="51">
        <v>88.662999999999997</v>
      </c>
      <c r="AC2841" s="52">
        <f t="shared" si="576"/>
        <v>5.225757800619385E-2</v>
      </c>
    </row>
    <row r="2842" spans="27:29">
      <c r="AA2842" s="50">
        <v>396.3</v>
      </c>
      <c r="AB2842" s="51">
        <v>88.66</v>
      </c>
      <c r="AC2842" s="52">
        <f t="shared" si="576"/>
        <v>5.2272273036684344E-2</v>
      </c>
    </row>
    <row r="2843" spans="27:29">
      <c r="AA2843" s="50">
        <v>396.2</v>
      </c>
      <c r="AB2843" s="51">
        <v>88.688000000000002</v>
      </c>
      <c r="AC2843" s="52">
        <f t="shared" si="576"/>
        <v>5.2135138751613956E-2</v>
      </c>
    </row>
    <row r="2844" spans="27:29">
      <c r="AA2844" s="50">
        <v>396.1</v>
      </c>
      <c r="AB2844" s="51">
        <v>88.632999999999996</v>
      </c>
      <c r="AC2844" s="52">
        <f t="shared" si="576"/>
        <v>5.2404550691211464E-2</v>
      </c>
    </row>
    <row r="2845" spans="27:29">
      <c r="AA2845" s="50">
        <v>396</v>
      </c>
      <c r="AB2845" s="51">
        <v>88.602000000000004</v>
      </c>
      <c r="AC2845" s="52">
        <f t="shared" si="576"/>
        <v>5.2556474736420257E-2</v>
      </c>
    </row>
    <row r="2846" spans="27:29">
      <c r="AA2846" s="50">
        <v>395.9</v>
      </c>
      <c r="AB2846" s="51">
        <v>88.644000000000005</v>
      </c>
      <c r="AC2846" s="52">
        <f t="shared" si="576"/>
        <v>5.2350654931388484E-2</v>
      </c>
    </row>
    <row r="2847" spans="27:29">
      <c r="AA2847" s="50">
        <v>395.8</v>
      </c>
      <c r="AB2847" s="51">
        <v>88.683999999999997</v>
      </c>
      <c r="AC2847" s="52">
        <f t="shared" si="576"/>
        <v>5.2154726712824395E-2</v>
      </c>
    </row>
    <row r="2848" spans="27:29">
      <c r="AA2848" s="50">
        <v>395.7</v>
      </c>
      <c r="AB2848" s="51">
        <v>88.616</v>
      </c>
      <c r="AC2848" s="52">
        <f t="shared" si="576"/>
        <v>5.2487857296213393E-2</v>
      </c>
    </row>
    <row r="2849" spans="27:29">
      <c r="AA2849" s="50">
        <v>395.6</v>
      </c>
      <c r="AB2849" s="51">
        <v>88.646000000000001</v>
      </c>
      <c r="AC2849" s="52">
        <f t="shared" si="576"/>
        <v>5.2340856420882029E-2</v>
      </c>
    </row>
    <row r="2850" spans="27:29">
      <c r="AA2850" s="50">
        <v>395.5</v>
      </c>
      <c r="AB2850" s="51">
        <v>88.626000000000005</v>
      </c>
      <c r="AC2850" s="52">
        <f t="shared" si="576"/>
        <v>5.2438851475655676E-2</v>
      </c>
    </row>
    <row r="2851" spans="27:29">
      <c r="AA2851" s="50">
        <v>395.4</v>
      </c>
      <c r="AB2851" s="51">
        <v>88.646000000000001</v>
      </c>
      <c r="AC2851" s="52">
        <f t="shared" si="576"/>
        <v>5.2340856420882029E-2</v>
      </c>
    </row>
    <row r="2852" spans="27:29">
      <c r="AA2852" s="50">
        <v>395.3</v>
      </c>
      <c r="AB2852" s="51">
        <v>88.634</v>
      </c>
      <c r="AC2852" s="52">
        <f t="shared" si="576"/>
        <v>5.2399650800290867E-2</v>
      </c>
    </row>
    <row r="2853" spans="27:29">
      <c r="AA2853" s="50">
        <v>395.2</v>
      </c>
      <c r="AB2853" s="51">
        <v>88.599000000000004</v>
      </c>
      <c r="AC2853" s="52">
        <f t="shared" si="576"/>
        <v>5.2571179884199709E-2</v>
      </c>
    </row>
    <row r="2854" spans="27:29">
      <c r="AA2854" s="50">
        <v>395.1</v>
      </c>
      <c r="AB2854" s="51">
        <v>88.67</v>
      </c>
      <c r="AC2854" s="52">
        <f t="shared" si="576"/>
        <v>5.222329153526168E-2</v>
      </c>
    </row>
    <row r="2855" spans="27:29">
      <c r="AA2855" s="50">
        <v>395</v>
      </c>
      <c r="AB2855" s="51">
        <v>88.628</v>
      </c>
      <c r="AC2855" s="52">
        <f t="shared" si="576"/>
        <v>5.2429050975087689E-2</v>
      </c>
    </row>
    <row r="2856" spans="27:29">
      <c r="AA2856" s="50">
        <v>394.9</v>
      </c>
      <c r="AB2856" s="51">
        <v>88.611999999999995</v>
      </c>
      <c r="AC2856" s="52">
        <f t="shared" si="576"/>
        <v>5.2507461172890998E-2</v>
      </c>
    </row>
    <row r="2857" spans="27:29">
      <c r="AA2857" s="50">
        <v>394.8</v>
      </c>
      <c r="AB2857" s="51">
        <v>88.59</v>
      </c>
      <c r="AC2857" s="52">
        <f t="shared" si="576"/>
        <v>5.2615298315259108E-2</v>
      </c>
    </row>
    <row r="2858" spans="27:29">
      <c r="AA2858" s="50">
        <v>394.7</v>
      </c>
      <c r="AB2858" s="51">
        <v>88.581000000000003</v>
      </c>
      <c r="AC2858" s="52">
        <f t="shared" si="576"/>
        <v>5.2659421228608276E-2</v>
      </c>
    </row>
    <row r="2859" spans="27:29">
      <c r="AA2859" s="50">
        <v>394.6</v>
      </c>
      <c r="AB2859" s="51">
        <v>88.591999999999999</v>
      </c>
      <c r="AC2859" s="52">
        <f t="shared" si="576"/>
        <v>5.2605493832141817E-2</v>
      </c>
    </row>
    <row r="2860" spans="27:29">
      <c r="AA2860" s="50">
        <v>394.5</v>
      </c>
      <c r="AB2860" s="51">
        <v>88.57</v>
      </c>
      <c r="AC2860" s="52">
        <f t="shared" si="576"/>
        <v>5.271335532220163E-2</v>
      </c>
    </row>
    <row r="2861" spans="27:29">
      <c r="AA2861" s="50">
        <v>394.4</v>
      </c>
      <c r="AB2861" s="51">
        <v>88.555000000000007</v>
      </c>
      <c r="AC2861" s="52">
        <f t="shared" si="576"/>
        <v>5.2786912609361733E-2</v>
      </c>
    </row>
    <row r="2862" spans="27:29">
      <c r="AA2862" s="50">
        <v>394.3</v>
      </c>
      <c r="AB2862" s="51">
        <v>88.552999999999997</v>
      </c>
      <c r="AC2862" s="52">
        <f t="shared" si="576"/>
        <v>5.2796721189028929E-2</v>
      </c>
    </row>
    <row r="2863" spans="27:29">
      <c r="AA2863" s="50">
        <v>394.2</v>
      </c>
      <c r="AB2863" s="51">
        <v>88.483000000000004</v>
      </c>
      <c r="AC2863" s="52">
        <f t="shared" si="576"/>
        <v>5.3140161114439713E-2</v>
      </c>
    </row>
    <row r="2864" spans="27:29">
      <c r="AA2864" s="50">
        <v>394.1</v>
      </c>
      <c r="AB2864" s="51">
        <v>88.433999999999997</v>
      </c>
      <c r="AC2864" s="52">
        <f t="shared" si="576"/>
        <v>5.3380730761872136E-2</v>
      </c>
    </row>
    <row r="2865" spans="27:29">
      <c r="AA2865" s="50">
        <v>394</v>
      </c>
      <c r="AB2865" s="51">
        <v>88.373000000000005</v>
      </c>
      <c r="AC2865" s="52">
        <f t="shared" si="576"/>
        <v>5.3680401752808263E-2</v>
      </c>
    </row>
    <row r="2866" spans="27:29">
      <c r="AA2866" s="50">
        <v>393.9</v>
      </c>
      <c r="AB2866" s="51">
        <v>88.331000000000003</v>
      </c>
      <c r="AC2866" s="52">
        <f t="shared" si="576"/>
        <v>5.3886852864083942E-2</v>
      </c>
    </row>
    <row r="2867" spans="27:29">
      <c r="AA2867" s="50">
        <v>393.8</v>
      </c>
      <c r="AB2867" s="51">
        <v>88.256</v>
      </c>
      <c r="AC2867" s="52">
        <f t="shared" si="576"/>
        <v>5.4255759840263068E-2</v>
      </c>
    </row>
    <row r="2868" spans="27:29">
      <c r="AA2868" s="50">
        <v>393.7</v>
      </c>
      <c r="AB2868" s="51">
        <v>88.206000000000003</v>
      </c>
      <c r="AC2868" s="52">
        <f t="shared" si="576"/>
        <v>5.4501872030720919E-2</v>
      </c>
    </row>
    <row r="2869" spans="27:29">
      <c r="AA2869" s="50">
        <v>393.6</v>
      </c>
      <c r="AB2869" s="51">
        <v>88.165999999999997</v>
      </c>
      <c r="AC2869" s="52">
        <f t="shared" si="576"/>
        <v>5.4698862251095735E-2</v>
      </c>
    </row>
    <row r="2870" spans="27:29">
      <c r="AA2870" s="50">
        <v>393.5</v>
      </c>
      <c r="AB2870" s="51">
        <v>88.094999999999999</v>
      </c>
      <c r="AC2870" s="52">
        <f t="shared" si="576"/>
        <v>5.5048740101361647E-2</v>
      </c>
    </row>
    <row r="2871" spans="27:29">
      <c r="AA2871" s="50">
        <v>393.4</v>
      </c>
      <c r="AB2871" s="51">
        <v>87.981999999999999</v>
      </c>
      <c r="AC2871" s="52">
        <f t="shared" si="576"/>
        <v>5.5606169898467228E-2</v>
      </c>
    </row>
    <row r="2872" spans="27:29">
      <c r="AA2872" s="50">
        <v>393.3</v>
      </c>
      <c r="AB2872" s="51">
        <v>87.917000000000002</v>
      </c>
      <c r="AC2872" s="52">
        <f t="shared" si="576"/>
        <v>5.5927139802885495E-2</v>
      </c>
    </row>
    <row r="2873" spans="27:29">
      <c r="AA2873" s="50">
        <v>393.2</v>
      </c>
      <c r="AB2873" s="51">
        <v>87.83</v>
      </c>
      <c r="AC2873" s="52">
        <f t="shared" si="576"/>
        <v>5.6357117247870993E-2</v>
      </c>
    </row>
    <row r="2874" spans="27:29">
      <c r="AA2874" s="50">
        <v>393.1</v>
      </c>
      <c r="AB2874" s="51">
        <v>87.793999999999997</v>
      </c>
      <c r="AC2874" s="52">
        <f t="shared" si="576"/>
        <v>5.6535163546412172E-2</v>
      </c>
    </row>
    <row r="2875" spans="27:29">
      <c r="AA2875" s="50">
        <v>393</v>
      </c>
      <c r="AB2875" s="51">
        <v>87.677999999999997</v>
      </c>
      <c r="AC2875" s="52">
        <f t="shared" si="576"/>
        <v>5.7109365324924E-2</v>
      </c>
    </row>
    <row r="2876" spans="27:29">
      <c r="AA2876" s="50">
        <v>392.9</v>
      </c>
      <c r="AB2876" s="51">
        <v>87.501000000000005</v>
      </c>
      <c r="AC2876" s="52">
        <f t="shared" si="576"/>
        <v>5.7986983640541126E-2</v>
      </c>
    </row>
    <row r="2877" spans="27:29">
      <c r="AA2877" s="50">
        <v>392.8</v>
      </c>
      <c r="AB2877" s="51">
        <v>87.44</v>
      </c>
      <c r="AC2877" s="52">
        <f t="shared" si="576"/>
        <v>5.8289851058353645E-2</v>
      </c>
    </row>
    <row r="2878" spans="27:29">
      <c r="AA2878" s="50">
        <v>392.7</v>
      </c>
      <c r="AB2878" s="51">
        <v>87.31</v>
      </c>
      <c r="AC2878" s="52">
        <f t="shared" si="576"/>
        <v>5.893601178009799E-2</v>
      </c>
    </row>
    <row r="2879" spans="27:29">
      <c r="AA2879" s="50">
        <v>392.6</v>
      </c>
      <c r="AB2879" s="51">
        <v>87.195999999999998</v>
      </c>
      <c r="AC2879" s="52">
        <f t="shared" si="576"/>
        <v>5.9503437289592911E-2</v>
      </c>
    </row>
    <row r="2880" spans="27:29">
      <c r="AA2880" s="50">
        <v>392.5</v>
      </c>
      <c r="AB2880" s="51">
        <v>87.03</v>
      </c>
      <c r="AC2880" s="52">
        <f t="shared" si="576"/>
        <v>6.0331016477673471E-2</v>
      </c>
    </row>
    <row r="2881" spans="27:31">
      <c r="AA2881" s="50">
        <v>392.4</v>
      </c>
      <c r="AB2881" s="51">
        <v>86.912000000000006</v>
      </c>
      <c r="AC2881" s="52">
        <f t="shared" si="576"/>
        <v>6.0920256071629895E-2</v>
      </c>
    </row>
    <row r="2882" spans="27:31">
      <c r="AA2882" s="50">
        <v>392.3</v>
      </c>
      <c r="AB2882" s="51">
        <v>86.872</v>
      </c>
      <c r="AC2882" s="52">
        <f t="shared" si="576"/>
        <v>6.11201798802994E-2</v>
      </c>
    </row>
    <row r="2883" spans="27:31">
      <c r="AA2883" s="50">
        <v>392.2</v>
      </c>
      <c r="AB2883" s="51">
        <v>86.778000000000006</v>
      </c>
      <c r="AC2883" s="52">
        <f t="shared" si="576"/>
        <v>6.1590363413686906E-2</v>
      </c>
    </row>
    <row r="2884" spans="27:31">
      <c r="AA2884" s="50">
        <v>392.1</v>
      </c>
      <c r="AB2884" s="51">
        <v>86.745999999999995</v>
      </c>
      <c r="AC2884" s="52">
        <f t="shared" si="576"/>
        <v>6.1750542104570635E-2</v>
      </c>
      <c r="AD2884">
        <f>SMALL(AC2885:AC3005,4)</f>
        <v>6.2096128570409137E-2</v>
      </c>
      <c r="AE2884" t="s">
        <v>347</v>
      </c>
    </row>
    <row r="2885" spans="27:31">
      <c r="AA2885" s="50">
        <v>392</v>
      </c>
      <c r="AB2885" s="51">
        <v>86.638999999999996</v>
      </c>
      <c r="AC2885" s="52">
        <f t="shared" si="576"/>
        <v>6.2286569044188493E-2</v>
      </c>
      <c r="AD2885">
        <f>LARGE(AC2885:AC3005,4)</f>
        <v>0.10818388047513947</v>
      </c>
      <c r="AE2885" t="s">
        <v>346</v>
      </c>
    </row>
    <row r="2886" spans="27:31">
      <c r="AA2886" s="50">
        <v>391.9</v>
      </c>
      <c r="AB2886" s="51">
        <v>86.495000000000005</v>
      </c>
      <c r="AC2886" s="52">
        <f t="shared" si="576"/>
        <v>6.3008996988032639E-2</v>
      </c>
    </row>
    <row r="2887" spans="27:31">
      <c r="AA2887" s="50">
        <v>391.8</v>
      </c>
      <c r="AB2887" s="51">
        <v>86.369</v>
      </c>
      <c r="AC2887" s="52">
        <f t="shared" si="576"/>
        <v>6.364210873380674E-2</v>
      </c>
    </row>
    <row r="2888" spans="27:31">
      <c r="AA2888" s="50">
        <v>391.7</v>
      </c>
      <c r="AB2888" s="51">
        <v>86.251000000000005</v>
      </c>
      <c r="AC2888" s="52">
        <f t="shared" si="576"/>
        <v>6.4235860985537269E-2</v>
      </c>
    </row>
    <row r="2889" spans="27:31">
      <c r="AA2889" s="50">
        <v>391.6</v>
      </c>
      <c r="AB2889" s="51">
        <v>86.186999999999998</v>
      </c>
      <c r="AC2889" s="52">
        <f t="shared" si="576"/>
        <v>6.4558235962260041E-2</v>
      </c>
    </row>
    <row r="2890" spans="27:31">
      <c r="AA2890" s="50">
        <v>391.5</v>
      </c>
      <c r="AB2890" s="51">
        <v>86.103999999999999</v>
      </c>
      <c r="AC2890" s="52">
        <f t="shared" ref="AC2890:AC2953" si="577">-LOG(AB2890/100)</f>
        <v>6.4976672732450946E-2</v>
      </c>
    </row>
    <row r="2891" spans="27:31">
      <c r="AA2891" s="50">
        <v>391.4</v>
      </c>
      <c r="AB2891" s="51">
        <v>86.015000000000001</v>
      </c>
      <c r="AC2891" s="52">
        <f t="shared" si="577"/>
        <v>6.5425806324143701E-2</v>
      </c>
    </row>
    <row r="2892" spans="27:31">
      <c r="AA2892" s="50">
        <v>391.3</v>
      </c>
      <c r="AB2892" s="51">
        <v>85.900999999999996</v>
      </c>
      <c r="AC2892" s="52">
        <f t="shared" si="577"/>
        <v>6.600178038349562E-2</v>
      </c>
    </row>
    <row r="2893" spans="27:31">
      <c r="AA2893" s="50">
        <v>391.2</v>
      </c>
      <c r="AB2893" s="51">
        <v>85.828000000000003</v>
      </c>
      <c r="AC2893" s="52">
        <f t="shared" si="577"/>
        <v>6.6371007469061147E-2</v>
      </c>
    </row>
    <row r="2894" spans="27:31">
      <c r="AA2894" s="50">
        <v>391.1</v>
      </c>
      <c r="AB2894" s="51">
        <v>85.784000000000006</v>
      </c>
      <c r="AC2894" s="52">
        <f t="shared" si="577"/>
        <v>6.6593707019470968E-2</v>
      </c>
    </row>
    <row r="2895" spans="27:31">
      <c r="AA2895" s="50">
        <v>391</v>
      </c>
      <c r="AB2895" s="51">
        <v>85.722999999999999</v>
      </c>
      <c r="AC2895" s="52">
        <f t="shared" si="577"/>
        <v>6.6902638602592296E-2</v>
      </c>
    </row>
    <row r="2896" spans="27:31">
      <c r="AA2896" s="50">
        <v>390.9</v>
      </c>
      <c r="AB2896" s="51">
        <v>85.796000000000006</v>
      </c>
      <c r="AC2896" s="52">
        <f t="shared" si="577"/>
        <v>6.6532959452256416E-2</v>
      </c>
    </row>
    <row r="2897" spans="27:29">
      <c r="AA2897" s="50">
        <v>390.8</v>
      </c>
      <c r="AB2897" s="51">
        <v>85.79</v>
      </c>
      <c r="AC2897" s="52">
        <f t="shared" si="577"/>
        <v>6.6563332173719458E-2</v>
      </c>
    </row>
    <row r="2898" spans="27:29">
      <c r="AA2898" s="50">
        <v>390.7</v>
      </c>
      <c r="AB2898" s="51">
        <v>85.751999999999995</v>
      </c>
      <c r="AC2898" s="52">
        <f t="shared" si="577"/>
        <v>6.6755742085954056E-2</v>
      </c>
    </row>
    <row r="2899" spans="27:29">
      <c r="AA2899" s="50">
        <v>390.6</v>
      </c>
      <c r="AB2899" s="51">
        <v>85.796999999999997</v>
      </c>
      <c r="AC2899" s="52">
        <f t="shared" si="577"/>
        <v>6.6527897538519759E-2</v>
      </c>
    </row>
    <row r="2900" spans="27:29">
      <c r="AA2900" s="50">
        <v>390.5</v>
      </c>
      <c r="AB2900" s="51">
        <v>85.819000000000003</v>
      </c>
      <c r="AC2900" s="52">
        <f t="shared" si="577"/>
        <v>6.641655036046866E-2</v>
      </c>
    </row>
    <row r="2901" spans="27:29">
      <c r="AA2901" s="50">
        <v>390.4</v>
      </c>
      <c r="AB2901" s="51">
        <v>85.838999999999999</v>
      </c>
      <c r="AC2901" s="52">
        <f t="shared" si="577"/>
        <v>6.6315350420152838E-2</v>
      </c>
    </row>
    <row r="2902" spans="27:29">
      <c r="AA2902" s="50">
        <v>390.3</v>
      </c>
      <c r="AB2902" s="51">
        <v>85.917000000000002</v>
      </c>
      <c r="AC2902" s="52">
        <f t="shared" si="577"/>
        <v>6.592089582273318E-2</v>
      </c>
    </row>
    <row r="2903" spans="27:29">
      <c r="AA2903" s="50">
        <v>390.2</v>
      </c>
      <c r="AB2903" s="51">
        <v>85.918000000000006</v>
      </c>
      <c r="AC2903" s="52">
        <f t="shared" si="577"/>
        <v>6.5915841037830089E-2</v>
      </c>
    </row>
    <row r="2904" spans="27:29">
      <c r="AA2904" s="50">
        <v>390.1</v>
      </c>
      <c r="AB2904" s="51">
        <v>86.085999999999999</v>
      </c>
      <c r="AC2904" s="52">
        <f t="shared" si="577"/>
        <v>6.5067471277113653E-2</v>
      </c>
    </row>
    <row r="2905" spans="27:29">
      <c r="AA2905" s="50">
        <v>390</v>
      </c>
      <c r="AB2905" s="51">
        <v>86.16</v>
      </c>
      <c r="AC2905" s="52">
        <f t="shared" si="577"/>
        <v>6.4694309710074865E-2</v>
      </c>
    </row>
    <row r="2906" spans="27:29">
      <c r="AA2906" s="50">
        <v>389.9</v>
      </c>
      <c r="AB2906" s="51">
        <v>86.245999999999995</v>
      </c>
      <c r="AC2906" s="52">
        <f t="shared" si="577"/>
        <v>6.4261037915108496E-2</v>
      </c>
    </row>
    <row r="2907" spans="27:29">
      <c r="AA2907" s="50">
        <v>389.8</v>
      </c>
      <c r="AB2907" s="51">
        <v>86.4</v>
      </c>
      <c r="AC2907" s="52">
        <f t="shared" si="577"/>
        <v>6.3486257521106662E-2</v>
      </c>
    </row>
    <row r="2908" spans="27:29">
      <c r="AA2908" s="50">
        <v>389.7</v>
      </c>
      <c r="AB2908" s="51">
        <v>86.418000000000006</v>
      </c>
      <c r="AC2908" s="52">
        <f t="shared" si="577"/>
        <v>6.339578892752816E-2</v>
      </c>
    </row>
    <row r="2909" spans="27:29">
      <c r="AA2909" s="50">
        <v>389.6</v>
      </c>
      <c r="AB2909" s="51">
        <v>86.558999999999997</v>
      </c>
      <c r="AC2909" s="52">
        <f t="shared" si="577"/>
        <v>6.2687769531758974E-2</v>
      </c>
    </row>
    <row r="2910" spans="27:29">
      <c r="AA2910" s="50">
        <v>389.5</v>
      </c>
      <c r="AB2910" s="51">
        <v>86.692999999999998</v>
      </c>
      <c r="AC2910" s="52">
        <f t="shared" si="577"/>
        <v>6.2015968084394517E-2</v>
      </c>
    </row>
    <row r="2911" spans="27:29">
      <c r="AA2911" s="50">
        <v>389.4</v>
      </c>
      <c r="AB2911" s="51">
        <v>86.677000000000007</v>
      </c>
      <c r="AC2911" s="52">
        <f t="shared" si="577"/>
        <v>6.2096128570409137E-2</v>
      </c>
    </row>
    <row r="2912" spans="27:29">
      <c r="AA2912" s="50">
        <v>389.3</v>
      </c>
      <c r="AB2912" s="51">
        <v>86.739000000000004</v>
      </c>
      <c r="AC2912" s="52">
        <f t="shared" si="577"/>
        <v>6.1785589069725762E-2</v>
      </c>
    </row>
    <row r="2913" spans="27:29">
      <c r="AA2913" s="50">
        <v>389.2</v>
      </c>
      <c r="AB2913" s="51">
        <v>86.704999999999998</v>
      </c>
      <c r="AC2913" s="52">
        <f t="shared" si="577"/>
        <v>6.1955857428087534E-2</v>
      </c>
    </row>
    <row r="2914" spans="27:29">
      <c r="AA2914" s="50">
        <v>389.1</v>
      </c>
      <c r="AB2914" s="51">
        <v>86.656999999999996</v>
      </c>
      <c r="AC2914" s="52">
        <f t="shared" si="577"/>
        <v>6.2196349988903089E-2</v>
      </c>
    </row>
    <row r="2915" spans="27:29">
      <c r="AA2915" s="50">
        <v>389</v>
      </c>
      <c r="AB2915" s="51">
        <v>86.625</v>
      </c>
      <c r="AC2915" s="52">
        <f t="shared" si="577"/>
        <v>6.2356752380136854E-2</v>
      </c>
    </row>
    <row r="2916" spans="27:29">
      <c r="AA2916" s="50">
        <v>388.9</v>
      </c>
      <c r="AB2916" s="51">
        <v>86.576999999999998</v>
      </c>
      <c r="AC2916" s="52">
        <f t="shared" si="577"/>
        <v>6.2597467102426876E-2</v>
      </c>
    </row>
    <row r="2917" spans="27:29">
      <c r="AA2917" s="50">
        <v>388.8</v>
      </c>
      <c r="AB2917" s="51">
        <v>86.466999999999999</v>
      </c>
      <c r="AC2917" s="52">
        <f t="shared" si="577"/>
        <v>6.3149608747835609E-2</v>
      </c>
    </row>
    <row r="2918" spans="27:29">
      <c r="AA2918" s="50">
        <v>388.7</v>
      </c>
      <c r="AB2918" s="51">
        <v>86.338999999999999</v>
      </c>
      <c r="AC2918" s="52">
        <f t="shared" si="577"/>
        <v>6.3792985758474224E-2</v>
      </c>
    </row>
    <row r="2919" spans="27:29">
      <c r="AA2919" s="50">
        <v>388.6</v>
      </c>
      <c r="AB2919" s="51">
        <v>86.147000000000006</v>
      </c>
      <c r="AC2919" s="52">
        <f t="shared" si="577"/>
        <v>6.4759841908713908E-2</v>
      </c>
    </row>
    <row r="2920" spans="27:29">
      <c r="AA2920" s="50">
        <v>388.5</v>
      </c>
      <c r="AB2920" s="51">
        <v>85.944000000000003</v>
      </c>
      <c r="AC2920" s="52">
        <f t="shared" si="577"/>
        <v>6.5784437276491053E-2</v>
      </c>
    </row>
    <row r="2921" spans="27:29">
      <c r="AA2921" s="50">
        <v>388.4</v>
      </c>
      <c r="AB2921" s="51">
        <v>85.733999999999995</v>
      </c>
      <c r="AC2921" s="52">
        <f t="shared" si="577"/>
        <v>6.6846913385103457E-2</v>
      </c>
    </row>
    <row r="2922" spans="27:29">
      <c r="AA2922" s="50">
        <v>388.3</v>
      </c>
      <c r="AB2922" s="51">
        <v>85.471000000000004</v>
      </c>
      <c r="AC2922" s="52">
        <f t="shared" si="577"/>
        <v>6.8181214820066255E-2</v>
      </c>
    </row>
    <row r="2923" spans="27:29">
      <c r="AA2923" s="50">
        <v>388.2</v>
      </c>
      <c r="AB2923" s="51">
        <v>85.221999999999994</v>
      </c>
      <c r="AC2923" s="52">
        <f t="shared" si="577"/>
        <v>6.9448277941577638E-2</v>
      </c>
    </row>
    <row r="2924" spans="27:29">
      <c r="AA2924" s="50">
        <v>388.1</v>
      </c>
      <c r="AB2924" s="51">
        <v>84.923000000000002</v>
      </c>
      <c r="AC2924" s="52">
        <f t="shared" si="577"/>
        <v>7.0974672296517702E-2</v>
      </c>
    </row>
    <row r="2925" spans="27:29">
      <c r="AA2925" s="50">
        <v>388</v>
      </c>
      <c r="AB2925" s="51">
        <v>84.534000000000006</v>
      </c>
      <c r="AC2925" s="52">
        <f t="shared" si="577"/>
        <v>7.2968580488126655E-2</v>
      </c>
    </row>
    <row r="2926" spans="27:29">
      <c r="AA2926" s="50">
        <v>387.9</v>
      </c>
      <c r="AB2926" s="51">
        <v>84.117000000000004</v>
      </c>
      <c r="AC2926" s="52">
        <f t="shared" si="577"/>
        <v>7.5116224652844968E-2</v>
      </c>
    </row>
    <row r="2927" spans="27:29">
      <c r="AA2927" s="50">
        <v>387.8</v>
      </c>
      <c r="AB2927" s="51">
        <v>83.768000000000001</v>
      </c>
      <c r="AC2927" s="52">
        <f t="shared" si="577"/>
        <v>7.6921853416771185E-2</v>
      </c>
    </row>
    <row r="2928" spans="27:29">
      <c r="AA2928" s="50">
        <v>387.7</v>
      </c>
      <c r="AB2928" s="51">
        <v>83.411000000000001</v>
      </c>
      <c r="AC2928" s="52">
        <f t="shared" si="577"/>
        <v>7.8776672092682409E-2</v>
      </c>
    </row>
    <row r="2929" spans="27:29">
      <c r="AA2929" s="50">
        <v>387.6</v>
      </c>
      <c r="AB2929" s="51">
        <v>83.001999999999995</v>
      </c>
      <c r="AC2929" s="52">
        <f t="shared" si="577"/>
        <v>8.0911442822732771E-2</v>
      </c>
    </row>
    <row r="2930" spans="27:29">
      <c r="AA2930" s="50">
        <v>387.5</v>
      </c>
      <c r="AB2930" s="51">
        <v>82.534000000000006</v>
      </c>
      <c r="AC2930" s="52">
        <f t="shared" si="577"/>
        <v>8.3367106352778345E-2</v>
      </c>
    </row>
    <row r="2931" spans="27:29">
      <c r="AA2931" s="50">
        <v>387.4</v>
      </c>
      <c r="AB2931" s="51">
        <v>82.197000000000003</v>
      </c>
      <c r="AC2931" s="52">
        <f t="shared" si="577"/>
        <v>8.5144032912766315E-2</v>
      </c>
    </row>
    <row r="2932" spans="27:29">
      <c r="AA2932" s="50">
        <v>387.3</v>
      </c>
      <c r="AB2932" s="51">
        <v>81.685000000000002</v>
      </c>
      <c r="AC2932" s="52">
        <f t="shared" si="577"/>
        <v>8.7857686617161868E-2</v>
      </c>
    </row>
    <row r="2933" spans="27:29">
      <c r="AA2933" s="50">
        <v>387.2</v>
      </c>
      <c r="AB2933" s="51">
        <v>81.3</v>
      </c>
      <c r="AC2933" s="52">
        <f t="shared" si="577"/>
        <v>8.9909454405931857E-2</v>
      </c>
    </row>
    <row r="2934" spans="27:29">
      <c r="AA2934" s="50">
        <v>387.1</v>
      </c>
      <c r="AB2934" s="51">
        <v>80.878</v>
      </c>
      <c r="AC2934" s="52">
        <f t="shared" si="577"/>
        <v>9.2169596780349264E-2</v>
      </c>
    </row>
    <row r="2935" spans="27:29">
      <c r="AA2935" s="50">
        <v>387</v>
      </c>
      <c r="AB2935" s="51">
        <v>80.540000000000006</v>
      </c>
      <c r="AC2935" s="52">
        <f t="shared" si="577"/>
        <v>9.3988374728587176E-2</v>
      </c>
    </row>
    <row r="2936" spans="27:29">
      <c r="AA2936" s="50">
        <v>386.9</v>
      </c>
      <c r="AB2936" s="51">
        <v>80.12</v>
      </c>
      <c r="AC2936" s="52">
        <f t="shared" si="577"/>
        <v>9.6259059378461367E-2</v>
      </c>
    </row>
    <row r="2937" spans="27:29">
      <c r="AA2937" s="50">
        <v>386.8</v>
      </c>
      <c r="AB2937" s="51">
        <v>79.793999999999997</v>
      </c>
      <c r="AC2937" s="52">
        <f t="shared" si="577"/>
        <v>9.8029763597359446E-2</v>
      </c>
    </row>
    <row r="2938" spans="27:29">
      <c r="AA2938" s="50">
        <v>386.7</v>
      </c>
      <c r="AB2938" s="51">
        <v>79.438999999999993</v>
      </c>
      <c r="AC2938" s="52">
        <f t="shared" si="577"/>
        <v>9.9966231496756361E-2</v>
      </c>
    </row>
    <row r="2939" spans="27:29">
      <c r="AA2939" s="50">
        <v>386.6</v>
      </c>
      <c r="AB2939" s="51">
        <v>79.102999999999994</v>
      </c>
      <c r="AC2939" s="52">
        <f t="shared" si="577"/>
        <v>0.10180704546895668</v>
      </c>
    </row>
    <row r="2940" spans="27:29">
      <c r="AA2940" s="50">
        <v>386.5</v>
      </c>
      <c r="AB2940" s="51">
        <v>78.816000000000003</v>
      </c>
      <c r="AC2940" s="52">
        <f t="shared" si="577"/>
        <v>0.10338560984099084</v>
      </c>
    </row>
    <row r="2941" spans="27:29">
      <c r="AA2941" s="50">
        <v>386.4</v>
      </c>
      <c r="AB2941" s="51">
        <v>78.546999999999997</v>
      </c>
      <c r="AC2941" s="52">
        <f t="shared" si="577"/>
        <v>0.10487039761734152</v>
      </c>
    </row>
    <row r="2942" spans="27:29">
      <c r="AA2942" s="50">
        <v>386.3</v>
      </c>
      <c r="AB2942" s="51">
        <v>78.34</v>
      </c>
      <c r="AC2942" s="52">
        <f t="shared" si="577"/>
        <v>0.10601643278815294</v>
      </c>
    </row>
    <row r="2943" spans="27:29">
      <c r="AA2943" s="50">
        <v>386.2</v>
      </c>
      <c r="AB2943" s="51">
        <v>78.171999999999997</v>
      </c>
      <c r="AC2943" s="52">
        <f t="shared" si="577"/>
        <v>0.10694877664653492</v>
      </c>
    </row>
    <row r="2944" spans="27:29">
      <c r="AA2944" s="50">
        <v>386.1</v>
      </c>
      <c r="AB2944" s="51">
        <v>78.015000000000001</v>
      </c>
      <c r="AC2944" s="52">
        <f t="shared" si="577"/>
        <v>0.10782188716948662</v>
      </c>
    </row>
    <row r="2945" spans="27:29">
      <c r="AA2945" s="50">
        <v>386</v>
      </c>
      <c r="AB2945" s="51">
        <v>77.914000000000001</v>
      </c>
      <c r="AC2945" s="52">
        <f t="shared" si="577"/>
        <v>0.10838449898392329</v>
      </c>
    </row>
    <row r="2946" spans="27:29">
      <c r="AA2946" s="50">
        <v>385.9</v>
      </c>
      <c r="AB2946" s="51">
        <v>77.843000000000004</v>
      </c>
      <c r="AC2946" s="52">
        <f t="shared" si="577"/>
        <v>0.10878043509402868</v>
      </c>
    </row>
    <row r="2947" spans="27:29">
      <c r="AA2947" s="50">
        <v>385.8</v>
      </c>
      <c r="AB2947" s="51">
        <v>77.847999999999999</v>
      </c>
      <c r="AC2947" s="52">
        <f t="shared" si="577"/>
        <v>0.10875254045130357</v>
      </c>
    </row>
    <row r="2948" spans="27:29">
      <c r="AA2948" s="50">
        <v>385.7</v>
      </c>
      <c r="AB2948" s="51">
        <v>77.95</v>
      </c>
      <c r="AC2948" s="52">
        <f t="shared" si="577"/>
        <v>0.10818388047513947</v>
      </c>
    </row>
    <row r="2949" spans="27:29">
      <c r="AA2949" s="50">
        <v>385.6</v>
      </c>
      <c r="AB2949" s="51">
        <v>78.128</v>
      </c>
      <c r="AC2949" s="52">
        <f t="shared" si="577"/>
        <v>0.10719329305995173</v>
      </c>
    </row>
    <row r="2950" spans="27:29">
      <c r="AA2950" s="50">
        <v>385.5</v>
      </c>
      <c r="AB2950" s="51">
        <v>78.391999999999996</v>
      </c>
      <c r="AC2950" s="52">
        <f t="shared" si="577"/>
        <v>0.10572825534018326</v>
      </c>
    </row>
    <row r="2951" spans="27:29">
      <c r="AA2951" s="50">
        <v>385.4</v>
      </c>
      <c r="AB2951" s="51">
        <v>78.534000000000006</v>
      </c>
      <c r="AC2951" s="52">
        <f t="shared" si="577"/>
        <v>0.10494228190987379</v>
      </c>
    </row>
    <row r="2952" spans="27:29">
      <c r="AA2952" s="50">
        <v>385.3</v>
      </c>
      <c r="AB2952" s="51">
        <v>78.814999999999998</v>
      </c>
      <c r="AC2952" s="52">
        <f t="shared" si="577"/>
        <v>0.10339112010841167</v>
      </c>
    </row>
    <row r="2953" spans="27:29">
      <c r="AA2953" s="50">
        <v>385.2</v>
      </c>
      <c r="AB2953" s="51">
        <v>79.13</v>
      </c>
      <c r="AC2953" s="52">
        <f t="shared" si="577"/>
        <v>0.10165883427249074</v>
      </c>
    </row>
    <row r="2954" spans="27:29">
      <c r="AA2954" s="50">
        <v>385.1</v>
      </c>
      <c r="AB2954" s="51">
        <v>79.566000000000003</v>
      </c>
      <c r="AC2954" s="52">
        <f t="shared" ref="AC2954:AC3017" si="578">-LOG(AB2954/100)</f>
        <v>9.927247455916953E-2</v>
      </c>
    </row>
    <row r="2955" spans="27:29">
      <c r="AA2955" s="50">
        <v>385</v>
      </c>
      <c r="AB2955" s="51">
        <v>80.042000000000002</v>
      </c>
      <c r="AC2955" s="52">
        <f t="shared" si="578"/>
        <v>9.668206823532581E-2</v>
      </c>
    </row>
    <row r="2956" spans="27:29">
      <c r="AA2956" s="50">
        <v>384.9</v>
      </c>
      <c r="AB2956" s="51">
        <v>80.463999999999999</v>
      </c>
      <c r="AC2956" s="52">
        <f t="shared" si="578"/>
        <v>9.43983817231481E-2</v>
      </c>
    </row>
    <row r="2957" spans="27:29">
      <c r="AA2957" s="50">
        <v>384.8</v>
      </c>
      <c r="AB2957" s="51">
        <v>80.957999999999998</v>
      </c>
      <c r="AC2957" s="52">
        <f t="shared" si="578"/>
        <v>9.1740229255419914E-2</v>
      </c>
    </row>
    <row r="2958" spans="27:29">
      <c r="AA2958" s="50">
        <v>384.7</v>
      </c>
      <c r="AB2958" s="51">
        <v>81.424999999999997</v>
      </c>
      <c r="AC2958" s="52">
        <f t="shared" si="578"/>
        <v>8.9242232763089319E-2</v>
      </c>
    </row>
    <row r="2959" spans="27:29">
      <c r="AA2959" s="50">
        <v>384.6</v>
      </c>
      <c r="AB2959" s="51">
        <v>81.870999999999995</v>
      </c>
      <c r="AC2959" s="52">
        <f t="shared" si="578"/>
        <v>8.6869904958803312E-2</v>
      </c>
    </row>
    <row r="2960" spans="27:29">
      <c r="AA2960" s="50">
        <v>384.5</v>
      </c>
      <c r="AB2960" s="51">
        <v>82.278999999999996</v>
      </c>
      <c r="AC2960" s="52">
        <f t="shared" si="578"/>
        <v>8.4710995260262725E-2</v>
      </c>
    </row>
    <row r="2961" spans="27:29">
      <c r="AA2961" s="50">
        <v>384.4</v>
      </c>
      <c r="AB2961" s="51">
        <v>82.710999999999999</v>
      </c>
      <c r="AC2961" s="52">
        <f t="shared" si="578"/>
        <v>8.2436728396465445E-2</v>
      </c>
    </row>
    <row r="2962" spans="27:29">
      <c r="AA2962" s="50">
        <v>384.3</v>
      </c>
      <c r="AB2962" s="51">
        <v>83.129000000000005</v>
      </c>
      <c r="AC2962" s="52">
        <f t="shared" si="578"/>
        <v>8.0247443810556943E-2</v>
      </c>
    </row>
    <row r="2963" spans="27:29">
      <c r="AA2963" s="50">
        <v>384.2</v>
      </c>
      <c r="AB2963" s="51">
        <v>83.45</v>
      </c>
      <c r="AC2963" s="52">
        <f t="shared" si="578"/>
        <v>7.8573658984734479E-2</v>
      </c>
    </row>
    <row r="2964" spans="27:29">
      <c r="AA2964" s="50">
        <v>384.1</v>
      </c>
      <c r="AB2964" s="51">
        <v>83.736999999999995</v>
      </c>
      <c r="AC2964" s="52">
        <f t="shared" si="578"/>
        <v>7.7082602398505576E-2</v>
      </c>
    </row>
    <row r="2965" spans="27:29">
      <c r="AA2965" s="50">
        <v>384</v>
      </c>
      <c r="AB2965" s="51">
        <v>83.977999999999994</v>
      </c>
      <c r="AC2965" s="52">
        <f t="shared" si="578"/>
        <v>7.5834472628619504E-2</v>
      </c>
    </row>
    <row r="2966" spans="27:29">
      <c r="AA2966" s="50">
        <v>383.9</v>
      </c>
      <c r="AB2966" s="51">
        <v>84.108000000000004</v>
      </c>
      <c r="AC2966" s="52">
        <f t="shared" si="578"/>
        <v>7.516269396883081E-2</v>
      </c>
    </row>
    <row r="2967" spans="27:29">
      <c r="AA2967" s="50">
        <v>383.8</v>
      </c>
      <c r="AB2967" s="51">
        <v>84.185000000000002</v>
      </c>
      <c r="AC2967" s="52">
        <f t="shared" si="578"/>
        <v>7.4765283768287435E-2</v>
      </c>
    </row>
    <row r="2968" spans="27:29">
      <c r="AA2968" s="50">
        <v>383.7</v>
      </c>
      <c r="AB2968" s="51">
        <v>84.325999999999993</v>
      </c>
      <c r="AC2968" s="52">
        <f t="shared" si="578"/>
        <v>7.4038499923441678E-2</v>
      </c>
    </row>
    <row r="2969" spans="27:29">
      <c r="AA2969" s="50">
        <v>383.6</v>
      </c>
      <c r="AB2969" s="51">
        <v>84.385999999999996</v>
      </c>
      <c r="AC2969" s="52">
        <f t="shared" si="578"/>
        <v>7.3729598718871053E-2</v>
      </c>
    </row>
    <row r="2970" spans="27:29">
      <c r="AA2970" s="50">
        <v>383.5</v>
      </c>
      <c r="AB2970" s="51">
        <v>84.36</v>
      </c>
      <c r="AC2970" s="52">
        <f t="shared" si="578"/>
        <v>7.3863428932551212E-2</v>
      </c>
    </row>
    <row r="2971" spans="27:29">
      <c r="AA2971" s="50">
        <v>383.4</v>
      </c>
      <c r="AB2971" s="51">
        <v>84.245999999999995</v>
      </c>
      <c r="AC2971" s="52">
        <f t="shared" si="578"/>
        <v>7.4450710268701675E-2</v>
      </c>
    </row>
    <row r="2972" spans="27:29">
      <c r="AA2972" s="50">
        <v>383.3</v>
      </c>
      <c r="AB2972" s="51">
        <v>84.138000000000005</v>
      </c>
      <c r="AC2972" s="52">
        <f t="shared" si="578"/>
        <v>7.5007815581289022E-2</v>
      </c>
    </row>
    <row r="2973" spans="27:29">
      <c r="AA2973" s="50">
        <v>383.2</v>
      </c>
      <c r="AB2973" s="51">
        <v>83.822999999999993</v>
      </c>
      <c r="AC2973" s="52">
        <f t="shared" si="578"/>
        <v>7.6636799954924117E-2</v>
      </c>
    </row>
    <row r="2974" spans="27:29">
      <c r="AA2974" s="50">
        <v>383.1</v>
      </c>
      <c r="AB2974" s="51">
        <v>83.557000000000002</v>
      </c>
      <c r="AC2974" s="52">
        <f t="shared" si="578"/>
        <v>7.801716116222393E-2</v>
      </c>
    </row>
    <row r="2975" spans="27:29">
      <c r="AA2975" s="50">
        <v>383</v>
      </c>
      <c r="AB2975" s="51">
        <v>83.28</v>
      </c>
      <c r="AC2975" s="52">
        <f t="shared" si="578"/>
        <v>7.9459283497520267E-2</v>
      </c>
    </row>
    <row r="2976" spans="27:29">
      <c r="AA2976" s="50">
        <v>382.9</v>
      </c>
      <c r="AB2976" s="51">
        <v>82.95</v>
      </c>
      <c r="AC2976" s="52">
        <f t="shared" si="578"/>
        <v>8.1183609639620485E-2</v>
      </c>
    </row>
    <row r="2977" spans="27:29">
      <c r="AA2977" s="50">
        <v>382.8</v>
      </c>
      <c r="AB2977" s="51">
        <v>82.632000000000005</v>
      </c>
      <c r="AC2977" s="52">
        <f t="shared" si="578"/>
        <v>8.2851735583720429E-2</v>
      </c>
    </row>
    <row r="2978" spans="27:29">
      <c r="AA2978" s="50">
        <v>382.7</v>
      </c>
      <c r="AB2978" s="51">
        <v>82.165000000000006</v>
      </c>
      <c r="AC2978" s="52">
        <f t="shared" si="578"/>
        <v>8.5313140414457617E-2</v>
      </c>
    </row>
    <row r="2979" spans="27:29">
      <c r="AA2979" s="50">
        <v>382.6</v>
      </c>
      <c r="AB2979" s="51">
        <v>81.745999999999995</v>
      </c>
      <c r="AC2979" s="52">
        <f t="shared" si="578"/>
        <v>8.7533489070474688E-2</v>
      </c>
    </row>
    <row r="2980" spans="27:29">
      <c r="AA2980" s="50">
        <v>382.5</v>
      </c>
      <c r="AB2980" s="51">
        <v>81.364999999999995</v>
      </c>
      <c r="AC2980" s="52">
        <f t="shared" si="578"/>
        <v>8.956237122483926E-2</v>
      </c>
    </row>
    <row r="2981" spans="27:29">
      <c r="AA2981" s="50">
        <v>382.4</v>
      </c>
      <c r="AB2981" s="51">
        <v>80.92</v>
      </c>
      <c r="AC2981" s="52">
        <f t="shared" si="578"/>
        <v>9.1944125901232909E-2</v>
      </c>
    </row>
    <row r="2982" spans="27:29">
      <c r="AA2982" s="50">
        <v>382.3</v>
      </c>
      <c r="AB2982" s="51">
        <v>80.537000000000006</v>
      </c>
      <c r="AC2982" s="52">
        <f t="shared" si="578"/>
        <v>9.4004551879215317E-2</v>
      </c>
    </row>
    <row r="2983" spans="27:29">
      <c r="AA2983" s="50">
        <v>382.2</v>
      </c>
      <c r="AB2983" s="51">
        <v>80.198999999999998</v>
      </c>
      <c r="AC2983" s="52">
        <f t="shared" si="578"/>
        <v>9.5831046892762908E-2</v>
      </c>
    </row>
    <row r="2984" spans="27:29">
      <c r="AA2984" s="50">
        <v>382.1</v>
      </c>
      <c r="AB2984" s="51">
        <v>79.875</v>
      </c>
      <c r="AC2984" s="52">
        <f t="shared" si="578"/>
        <v>9.758912883354344E-2</v>
      </c>
    </row>
    <row r="2985" spans="27:29">
      <c r="AA2985" s="50">
        <v>382</v>
      </c>
      <c r="AB2985" s="51">
        <v>79.569999999999993</v>
      </c>
      <c r="AC2985" s="52">
        <f t="shared" si="578"/>
        <v>9.9250641938920484E-2</v>
      </c>
    </row>
    <row r="2986" spans="27:29">
      <c r="AA2986" s="50">
        <v>381.9</v>
      </c>
      <c r="AB2986" s="51">
        <v>79.322000000000003</v>
      </c>
      <c r="AC2986" s="52">
        <f t="shared" si="578"/>
        <v>0.10060634416399224</v>
      </c>
    </row>
    <row r="2987" spans="27:29">
      <c r="AA2987" s="50">
        <v>381.8</v>
      </c>
      <c r="AB2987" s="51">
        <v>79.197000000000003</v>
      </c>
      <c r="AC2987" s="52">
        <f t="shared" si="578"/>
        <v>0.1012912692706347</v>
      </c>
    </row>
    <row r="2988" spans="27:29">
      <c r="AA2988" s="50">
        <v>381.7</v>
      </c>
      <c r="AB2988" s="51">
        <v>79.191999999999993</v>
      </c>
      <c r="AC2988" s="52">
        <f t="shared" si="578"/>
        <v>0.101318688755703</v>
      </c>
    </row>
    <row r="2989" spans="27:29">
      <c r="AA2989" s="50">
        <v>381.6</v>
      </c>
      <c r="AB2989" s="51">
        <v>79.284000000000006</v>
      </c>
      <c r="AC2989" s="52">
        <f t="shared" si="578"/>
        <v>0.10081444714405721</v>
      </c>
    </row>
    <row r="2990" spans="27:29">
      <c r="AA2990" s="50">
        <v>381.5</v>
      </c>
      <c r="AB2990" s="51">
        <v>79.412999999999997</v>
      </c>
      <c r="AC2990" s="52">
        <f t="shared" si="578"/>
        <v>0.10010839724387081</v>
      </c>
    </row>
    <row r="2991" spans="27:29">
      <c r="AA2991" s="50">
        <v>381.4</v>
      </c>
      <c r="AB2991" s="51">
        <v>79.644000000000005</v>
      </c>
      <c r="AC2991" s="52">
        <f t="shared" si="578"/>
        <v>9.884693631033234E-2</v>
      </c>
    </row>
    <row r="2992" spans="27:29">
      <c r="AA2992" s="50">
        <v>381.3</v>
      </c>
      <c r="AB2992" s="51">
        <v>79.947999999999993</v>
      </c>
      <c r="AC2992" s="52">
        <f t="shared" si="578"/>
        <v>9.7192396205778284E-2</v>
      </c>
    </row>
    <row r="2993" spans="27:29">
      <c r="AA2993" s="50">
        <v>381.2</v>
      </c>
      <c r="AB2993" s="51">
        <v>80.308000000000007</v>
      </c>
      <c r="AC2993" s="52">
        <f t="shared" si="578"/>
        <v>9.5241189680248875E-2</v>
      </c>
    </row>
    <row r="2994" spans="27:29">
      <c r="AA2994" s="50">
        <v>381.1</v>
      </c>
      <c r="AB2994" s="51">
        <v>80.765000000000001</v>
      </c>
      <c r="AC2994" s="52">
        <f t="shared" si="578"/>
        <v>9.2776802591296212E-2</v>
      </c>
    </row>
    <row r="2995" spans="27:29">
      <c r="AA2995" s="50">
        <v>381</v>
      </c>
      <c r="AB2995" s="51">
        <v>81.28</v>
      </c>
      <c r="AC2995" s="52">
        <f t="shared" si="578"/>
        <v>9.0016305060155982E-2</v>
      </c>
    </row>
    <row r="2996" spans="27:29">
      <c r="AA2996" s="50">
        <v>380.9</v>
      </c>
      <c r="AB2996" s="51">
        <v>81.81</v>
      </c>
      <c r="AC2996" s="52">
        <f t="shared" si="578"/>
        <v>8.7193607338707652E-2</v>
      </c>
    </row>
    <row r="2997" spans="27:29">
      <c r="AA2997" s="50">
        <v>380.8</v>
      </c>
      <c r="AB2997" s="51">
        <v>82.308000000000007</v>
      </c>
      <c r="AC2997" s="52">
        <f t="shared" si="578"/>
        <v>8.4557951093888264E-2</v>
      </c>
    </row>
    <row r="2998" spans="27:29">
      <c r="AA2998" s="50">
        <v>380.7</v>
      </c>
      <c r="AB2998" s="51">
        <v>82.838999999999999</v>
      </c>
      <c r="AC2998" s="52">
        <f t="shared" si="578"/>
        <v>8.1765152380024061E-2</v>
      </c>
    </row>
    <row r="2999" spans="27:29">
      <c r="AA2999" s="50">
        <v>380.6</v>
      </c>
      <c r="AB2999" s="51">
        <v>83.355999999999995</v>
      </c>
      <c r="AC2999" s="52">
        <f t="shared" si="578"/>
        <v>7.9063134011056038E-2</v>
      </c>
    </row>
    <row r="3000" spans="27:29">
      <c r="AA3000" s="50">
        <v>380.5</v>
      </c>
      <c r="AB3000" s="51">
        <v>83.852000000000004</v>
      </c>
      <c r="AC3000" s="52">
        <f t="shared" si="578"/>
        <v>7.648657433869295E-2</v>
      </c>
    </row>
    <row r="3001" spans="27:29">
      <c r="AA3001" s="50">
        <v>380.4</v>
      </c>
      <c r="AB3001" s="51">
        <v>84.338999999999999</v>
      </c>
      <c r="AC3001" s="52">
        <f t="shared" si="578"/>
        <v>7.397155268156072E-2</v>
      </c>
    </row>
    <row r="3002" spans="27:29">
      <c r="AA3002" s="50">
        <v>380.3</v>
      </c>
      <c r="AB3002" s="51">
        <v>84.855999999999995</v>
      </c>
      <c r="AC3002" s="52">
        <f t="shared" si="578"/>
        <v>7.1317444156382775E-2</v>
      </c>
    </row>
    <row r="3003" spans="27:29">
      <c r="AA3003" s="50">
        <v>380.2</v>
      </c>
      <c r="AB3003" s="51">
        <v>85.254999999999995</v>
      </c>
      <c r="AC3003" s="52">
        <f t="shared" si="578"/>
        <v>6.9280141265289183E-2</v>
      </c>
    </row>
    <row r="3004" spans="27:29">
      <c r="AA3004" s="50">
        <v>380.1</v>
      </c>
      <c r="AB3004" s="51">
        <v>85.671999999999997</v>
      </c>
      <c r="AC3004" s="52">
        <f t="shared" si="578"/>
        <v>6.7161094441219621E-2</v>
      </c>
    </row>
    <row r="3005" spans="27:29">
      <c r="AA3005" s="50">
        <v>380</v>
      </c>
      <c r="AB3005" s="51">
        <v>85.975999999999999</v>
      </c>
      <c r="AC3005" s="52">
        <f t="shared" si="578"/>
        <v>6.5622764131058317E-2</v>
      </c>
    </row>
    <row r="3006" spans="27:29">
      <c r="AA3006" s="50">
        <v>379.9</v>
      </c>
      <c r="AB3006" s="51">
        <v>86.257000000000005</v>
      </c>
      <c r="AC3006" s="52">
        <f t="shared" si="578"/>
        <v>6.4205650596541139E-2</v>
      </c>
    </row>
    <row r="3007" spans="27:29">
      <c r="AA3007" s="50">
        <v>379.8</v>
      </c>
      <c r="AB3007" s="51">
        <v>86.507000000000005</v>
      </c>
      <c r="AC3007" s="52">
        <f t="shared" si="578"/>
        <v>6.2948748738981208E-2</v>
      </c>
    </row>
    <row r="3008" spans="27:29">
      <c r="AA3008" s="50">
        <v>379.7</v>
      </c>
      <c r="AB3008" s="51">
        <v>86.759</v>
      </c>
      <c r="AC3008" s="52">
        <f t="shared" si="578"/>
        <v>6.1685462386115136E-2</v>
      </c>
    </row>
    <row r="3009" spans="27:29">
      <c r="AA3009" s="50">
        <v>379.6</v>
      </c>
      <c r="AB3009" s="51">
        <v>87.001000000000005</v>
      </c>
      <c r="AC3009" s="52">
        <f t="shared" si="578"/>
        <v>6.0475755519473665E-2</v>
      </c>
    </row>
    <row r="3010" spans="27:29">
      <c r="AA3010" s="50">
        <v>379.5</v>
      </c>
      <c r="AB3010" s="51">
        <v>87.135000000000005</v>
      </c>
      <c r="AC3010" s="52">
        <f t="shared" si="578"/>
        <v>5.9807364468089992E-2</v>
      </c>
    </row>
    <row r="3011" spans="27:29">
      <c r="AA3011" s="50">
        <v>379.4</v>
      </c>
      <c r="AB3011" s="51">
        <v>87.22</v>
      </c>
      <c r="AC3011" s="52">
        <f t="shared" si="578"/>
        <v>5.9383917662592371E-2</v>
      </c>
    </row>
    <row r="3012" spans="27:29">
      <c r="AA3012" s="50">
        <v>379.3</v>
      </c>
      <c r="AB3012" s="51">
        <v>87.316999999999993</v>
      </c>
      <c r="AC3012" s="52">
        <f t="shared" si="578"/>
        <v>5.8901194009937055E-2</v>
      </c>
    </row>
    <row r="3013" spans="27:29">
      <c r="AA3013" s="50">
        <v>379.2</v>
      </c>
      <c r="AB3013" s="51">
        <v>87.451999999999998</v>
      </c>
      <c r="AC3013" s="52">
        <f t="shared" si="578"/>
        <v>5.8230253892205187E-2</v>
      </c>
    </row>
    <row r="3014" spans="27:29">
      <c r="AA3014" s="50">
        <v>379.1</v>
      </c>
      <c r="AB3014" s="51">
        <v>87.543000000000006</v>
      </c>
      <c r="AC3014" s="52">
        <f t="shared" si="578"/>
        <v>5.7778574685193047E-2</v>
      </c>
    </row>
    <row r="3015" spans="27:29">
      <c r="AA3015" s="50">
        <v>379</v>
      </c>
      <c r="AB3015" s="51">
        <v>87.653999999999996</v>
      </c>
      <c r="AC3015" s="52">
        <f t="shared" si="578"/>
        <v>5.7228260536645509E-2</v>
      </c>
    </row>
    <row r="3016" spans="27:29">
      <c r="AA3016" s="50">
        <v>378.9</v>
      </c>
      <c r="AB3016" s="51">
        <v>87.753</v>
      </c>
      <c r="AC3016" s="52">
        <f t="shared" si="578"/>
        <v>5.673802744134393E-2</v>
      </c>
    </row>
    <row r="3017" spans="27:29">
      <c r="AA3017" s="50">
        <v>378.8</v>
      </c>
      <c r="AB3017" s="51">
        <v>87.734999999999999</v>
      </c>
      <c r="AC3017" s="52">
        <f t="shared" si="578"/>
        <v>5.682711958099651E-2</v>
      </c>
    </row>
    <row r="3018" spans="27:29">
      <c r="AA3018" s="50">
        <v>378.7</v>
      </c>
      <c r="AB3018" s="51">
        <v>87.718999999999994</v>
      </c>
      <c r="AC3018" s="52">
        <f t="shared" ref="AC3018:AC3081" si="579">-LOG(AB3018/100)</f>
        <v>5.6906327940221338E-2</v>
      </c>
    </row>
    <row r="3019" spans="27:29">
      <c r="AA3019" s="50">
        <v>378.6</v>
      </c>
      <c r="AB3019" s="51">
        <v>87.721000000000004</v>
      </c>
      <c r="AC3019" s="52">
        <f t="shared" si="579"/>
        <v>5.689642610524813E-2</v>
      </c>
    </row>
    <row r="3020" spans="27:29">
      <c r="AA3020" s="50">
        <v>378.5</v>
      </c>
      <c r="AB3020" s="51">
        <v>87.763999999999996</v>
      </c>
      <c r="AC3020" s="52">
        <f t="shared" si="579"/>
        <v>5.6683591240780019E-2</v>
      </c>
    </row>
    <row r="3021" spans="27:29">
      <c r="AA3021" s="50">
        <v>378.4</v>
      </c>
      <c r="AB3021" s="51">
        <v>87.816000000000003</v>
      </c>
      <c r="AC3021" s="52">
        <f t="shared" si="579"/>
        <v>5.6426348801786458E-2</v>
      </c>
    </row>
    <row r="3022" spans="27:29">
      <c r="AA3022" s="50">
        <v>378.3</v>
      </c>
      <c r="AB3022" s="51">
        <v>87.86</v>
      </c>
      <c r="AC3022" s="52">
        <f t="shared" si="579"/>
        <v>5.6208801070698367E-2</v>
      </c>
    </row>
    <row r="3023" spans="27:29">
      <c r="AA3023" s="50">
        <v>378.2</v>
      </c>
      <c r="AB3023" s="51">
        <v>87.846000000000004</v>
      </c>
      <c r="AC3023" s="52">
        <f t="shared" si="579"/>
        <v>5.6278008983456196E-2</v>
      </c>
    </row>
    <row r="3024" spans="27:29">
      <c r="AA3024" s="50">
        <v>378.1</v>
      </c>
      <c r="AB3024" s="51">
        <v>87.930999999999997</v>
      </c>
      <c r="AC3024" s="52">
        <f t="shared" si="579"/>
        <v>5.5857987776595876E-2</v>
      </c>
    </row>
    <row r="3025" spans="27:29">
      <c r="AA3025" s="50">
        <v>378</v>
      </c>
      <c r="AB3025" s="51">
        <v>87.947999999999993</v>
      </c>
      <c r="AC3025" s="52">
        <f t="shared" si="579"/>
        <v>5.5774032259276046E-2</v>
      </c>
    </row>
    <row r="3026" spans="27:29">
      <c r="AA3026" s="50">
        <v>377.9</v>
      </c>
      <c r="AB3026" s="51">
        <v>87.927999999999997</v>
      </c>
      <c r="AC3026" s="52">
        <f t="shared" si="579"/>
        <v>5.5872805141028006E-2</v>
      </c>
    </row>
    <row r="3027" spans="27:29">
      <c r="AA3027" s="50">
        <v>377.8</v>
      </c>
      <c r="AB3027" s="51">
        <v>87.936999999999998</v>
      </c>
      <c r="AC3027" s="52">
        <f t="shared" si="579"/>
        <v>5.5828354564272625E-2</v>
      </c>
    </row>
    <row r="3028" spans="27:29">
      <c r="AA3028" s="50">
        <v>377.7</v>
      </c>
      <c r="AB3028" s="51">
        <v>88</v>
      </c>
      <c r="AC3028" s="52">
        <f t="shared" si="579"/>
        <v>5.551732784983137E-2</v>
      </c>
    </row>
    <row r="3029" spans="27:29">
      <c r="AA3029" s="50">
        <v>377.6</v>
      </c>
      <c r="AB3029" s="51">
        <v>87.978999999999999</v>
      </c>
      <c r="AC3029" s="52">
        <f t="shared" si="579"/>
        <v>5.5620978673659914E-2</v>
      </c>
    </row>
    <row r="3030" spans="27:29">
      <c r="AA3030" s="50">
        <v>377.5</v>
      </c>
      <c r="AB3030" s="51">
        <v>87.933000000000007</v>
      </c>
      <c r="AC3030" s="52">
        <f t="shared" si="579"/>
        <v>5.5848109814490503E-2</v>
      </c>
    </row>
    <row r="3031" spans="27:29">
      <c r="AA3031" s="50">
        <v>377.4</v>
      </c>
      <c r="AB3031" s="51">
        <v>87.909000000000006</v>
      </c>
      <c r="AC3031" s="52">
        <f t="shared" si="579"/>
        <v>5.5966660190741924E-2</v>
      </c>
    </row>
    <row r="3032" spans="27:29">
      <c r="AA3032" s="50">
        <v>377.3</v>
      </c>
      <c r="AB3032" s="51">
        <v>87.899000000000001</v>
      </c>
      <c r="AC3032" s="52">
        <f t="shared" si="579"/>
        <v>5.6016065733421612E-2</v>
      </c>
    </row>
    <row r="3033" spans="27:29">
      <c r="AA3033" s="50">
        <v>377.2</v>
      </c>
      <c r="AB3033" s="51">
        <v>87.932000000000002</v>
      </c>
      <c r="AC3033" s="52">
        <f t="shared" si="579"/>
        <v>5.5853048767459099E-2</v>
      </c>
    </row>
    <row r="3034" spans="27:29">
      <c r="AA3034" s="50">
        <v>377.1</v>
      </c>
      <c r="AB3034" s="51">
        <v>87.971999999999994</v>
      </c>
      <c r="AC3034" s="52">
        <f t="shared" si="579"/>
        <v>5.5655534446288964E-2</v>
      </c>
    </row>
    <row r="3035" spans="27:29">
      <c r="AA3035" s="50">
        <v>377</v>
      </c>
      <c r="AB3035" s="51">
        <v>88.061000000000007</v>
      </c>
      <c r="AC3035" s="52">
        <f t="shared" si="579"/>
        <v>5.5216387102520463E-2</v>
      </c>
    </row>
    <row r="3036" spans="27:29">
      <c r="AA3036" s="50">
        <v>376.9</v>
      </c>
      <c r="AB3036" s="51">
        <v>88.099000000000004</v>
      </c>
      <c r="AC3036" s="52">
        <f t="shared" si="579"/>
        <v>5.5029021178720543E-2</v>
      </c>
    </row>
    <row r="3037" spans="27:29">
      <c r="AA3037" s="50">
        <v>376.8</v>
      </c>
      <c r="AB3037" s="51">
        <v>88.162999999999997</v>
      </c>
      <c r="AC3037" s="52">
        <f t="shared" si="579"/>
        <v>5.4713640120258936E-2</v>
      </c>
    </row>
    <row r="3038" spans="27:29">
      <c r="AA3038" s="50">
        <v>376.7</v>
      </c>
      <c r="AB3038" s="51">
        <v>88.126999999999995</v>
      </c>
      <c r="AC3038" s="52">
        <f t="shared" si="579"/>
        <v>5.4891013783720743E-2</v>
      </c>
    </row>
    <row r="3039" spans="27:29">
      <c r="AA3039" s="50">
        <v>376.6</v>
      </c>
      <c r="AB3039" s="51">
        <v>88.120999999999995</v>
      </c>
      <c r="AC3039" s="52">
        <f t="shared" si="579"/>
        <v>5.4920583105272522E-2</v>
      </c>
    </row>
    <row r="3040" spans="27:29">
      <c r="AA3040" s="50">
        <v>376.5</v>
      </c>
      <c r="AB3040" s="51">
        <v>88.129000000000005</v>
      </c>
      <c r="AC3040" s="52">
        <f t="shared" si="579"/>
        <v>5.4881157790576174E-2</v>
      </c>
    </row>
    <row r="3041" spans="27:29">
      <c r="AA3041" s="50">
        <v>376.4</v>
      </c>
      <c r="AB3041" s="51">
        <v>88.156999999999996</v>
      </c>
      <c r="AC3041" s="52">
        <f t="shared" si="579"/>
        <v>5.4743197367223807E-2</v>
      </c>
    </row>
    <row r="3042" spans="27:29">
      <c r="AA3042" s="50">
        <v>376.3</v>
      </c>
      <c r="AB3042" s="51">
        <v>88.210999999999999</v>
      </c>
      <c r="AC3042" s="52">
        <f t="shared" si="579"/>
        <v>5.4477254534560197E-2</v>
      </c>
    </row>
    <row r="3043" spans="27:29">
      <c r="AA3043" s="50">
        <v>376.2</v>
      </c>
      <c r="AB3043" s="51">
        <v>88.168999999999997</v>
      </c>
      <c r="AC3043" s="52">
        <f t="shared" si="579"/>
        <v>5.4684084884766483E-2</v>
      </c>
    </row>
    <row r="3044" spans="27:29">
      <c r="AA3044" s="50">
        <v>376.1</v>
      </c>
      <c r="AB3044" s="51">
        <v>88.167000000000002</v>
      </c>
      <c r="AC3044" s="52">
        <f t="shared" si="579"/>
        <v>5.4693936406450538E-2</v>
      </c>
    </row>
    <row r="3045" spans="27:29">
      <c r="AA3045" s="50">
        <v>376</v>
      </c>
      <c r="AB3045" s="51">
        <v>88.141000000000005</v>
      </c>
      <c r="AC3045" s="52">
        <f t="shared" si="579"/>
        <v>5.4822026528411422E-2</v>
      </c>
    </row>
    <row r="3046" spans="27:29">
      <c r="AA3046" s="50">
        <v>375.9</v>
      </c>
      <c r="AB3046" s="51">
        <v>88.194999999999993</v>
      </c>
      <c r="AC3046" s="52">
        <f t="shared" si="579"/>
        <v>5.4556035434637391E-2</v>
      </c>
    </row>
    <row r="3047" spans="27:29">
      <c r="AA3047" s="50">
        <v>375.8</v>
      </c>
      <c r="AB3047" s="51">
        <v>88.293000000000006</v>
      </c>
      <c r="AC3047" s="52">
        <f t="shared" si="579"/>
        <v>5.4073726568302546E-2</v>
      </c>
    </row>
    <row r="3048" spans="27:29">
      <c r="AA3048" s="50">
        <v>375.7</v>
      </c>
      <c r="AB3048" s="51">
        <v>88.367000000000004</v>
      </c>
      <c r="AC3048" s="52">
        <f t="shared" si="579"/>
        <v>5.3709888760756865E-2</v>
      </c>
    </row>
    <row r="3049" spans="27:29">
      <c r="AA3049" s="50">
        <v>375.6</v>
      </c>
      <c r="AB3049" s="51">
        <v>88.388999999999996</v>
      </c>
      <c r="AC3049" s="52">
        <f t="shared" si="579"/>
        <v>5.3601779518058404E-2</v>
      </c>
    </row>
    <row r="3050" spans="27:29">
      <c r="AA3050" s="50">
        <v>375.5</v>
      </c>
      <c r="AB3050" s="51">
        <v>88.387</v>
      </c>
      <c r="AC3050" s="52">
        <f t="shared" si="579"/>
        <v>5.3611606519052203E-2</v>
      </c>
    </row>
    <row r="3051" spans="27:29">
      <c r="AA3051" s="50">
        <v>375.4</v>
      </c>
      <c r="AB3051" s="51">
        <v>88.388999999999996</v>
      </c>
      <c r="AC3051" s="52">
        <f t="shared" si="579"/>
        <v>5.3601779518058404E-2</v>
      </c>
    </row>
    <row r="3052" spans="27:29">
      <c r="AA3052" s="50">
        <v>375.3</v>
      </c>
      <c r="AB3052" s="51">
        <v>88.375</v>
      </c>
      <c r="AC3052" s="52">
        <f t="shared" si="579"/>
        <v>5.3670573195044161E-2</v>
      </c>
    </row>
    <row r="3053" spans="27:29">
      <c r="AA3053" s="50">
        <v>375.2</v>
      </c>
      <c r="AB3053" s="51">
        <v>88.394000000000005</v>
      </c>
      <c r="AC3053" s="52">
        <f t="shared" si="579"/>
        <v>5.357721298835702E-2</v>
      </c>
    </row>
    <row r="3054" spans="27:29">
      <c r="AA3054" s="50">
        <v>375.1</v>
      </c>
      <c r="AB3054" s="51">
        <v>88.42</v>
      </c>
      <c r="AC3054" s="52">
        <f t="shared" si="579"/>
        <v>5.3449489430144805E-2</v>
      </c>
    </row>
    <row r="3055" spans="27:29">
      <c r="AA3055" s="50">
        <v>375</v>
      </c>
      <c r="AB3055" s="51">
        <v>88.466999999999999</v>
      </c>
      <c r="AC3055" s="52">
        <f t="shared" si="579"/>
        <v>5.3218699817230243E-2</v>
      </c>
    </row>
    <row r="3056" spans="27:29">
      <c r="AA3056" s="50">
        <v>374.9</v>
      </c>
      <c r="AB3056" s="51">
        <v>88.5</v>
      </c>
      <c r="AC3056" s="52">
        <f t="shared" si="579"/>
        <v>5.305672930217456E-2</v>
      </c>
    </row>
    <row r="3057" spans="27:29">
      <c r="AA3057" s="50">
        <v>374.8</v>
      </c>
      <c r="AB3057" s="51">
        <v>88.531999999999996</v>
      </c>
      <c r="AC3057" s="52">
        <f t="shared" si="579"/>
        <v>5.2899724652481141E-2</v>
      </c>
    </row>
    <row r="3058" spans="27:29">
      <c r="AA3058" s="50">
        <v>374.7</v>
      </c>
      <c r="AB3058" s="51">
        <v>88.494</v>
      </c>
      <c r="AC3058" s="52">
        <f t="shared" si="579"/>
        <v>5.3086173993999376E-2</v>
      </c>
    </row>
    <row r="3059" spans="27:29">
      <c r="AA3059" s="50">
        <v>374.6</v>
      </c>
      <c r="AB3059" s="51">
        <v>88.521000000000001</v>
      </c>
      <c r="AC3059" s="52">
        <f t="shared" si="579"/>
        <v>5.2953688598950048E-2</v>
      </c>
    </row>
    <row r="3060" spans="27:29">
      <c r="AA3060" s="50">
        <v>374.5</v>
      </c>
      <c r="AB3060" s="51">
        <v>88.513000000000005</v>
      </c>
      <c r="AC3060" s="52">
        <f t="shared" si="579"/>
        <v>5.2992939317541843E-2</v>
      </c>
    </row>
    <row r="3061" spans="27:29">
      <c r="AA3061" s="50">
        <v>374.4</v>
      </c>
      <c r="AB3061" s="51">
        <v>88.543999999999997</v>
      </c>
      <c r="AC3061" s="52">
        <f t="shared" si="579"/>
        <v>5.2840862539142039E-2</v>
      </c>
    </row>
    <row r="3062" spans="27:29">
      <c r="AA3062" s="50">
        <v>374.3</v>
      </c>
      <c r="AB3062" s="51">
        <v>88.584000000000003</v>
      </c>
      <c r="AC3062" s="52">
        <f t="shared" si="579"/>
        <v>5.2644713092736772E-2</v>
      </c>
    </row>
    <row r="3063" spans="27:29">
      <c r="AA3063" s="50">
        <v>374.2</v>
      </c>
      <c r="AB3063" s="51">
        <v>88.564999999999998</v>
      </c>
      <c r="AC3063" s="52">
        <f t="shared" si="579"/>
        <v>5.2737873033665686E-2</v>
      </c>
    </row>
    <row r="3064" spans="27:29">
      <c r="AA3064" s="50">
        <v>374.1</v>
      </c>
      <c r="AB3064" s="51">
        <v>88.52</v>
      </c>
      <c r="AC3064" s="52">
        <f t="shared" si="579"/>
        <v>5.2958594744779666E-2</v>
      </c>
    </row>
    <row r="3065" spans="27:29">
      <c r="AA3065" s="50">
        <v>374</v>
      </c>
      <c r="AB3065" s="51">
        <v>88.498999999999995</v>
      </c>
      <c r="AC3065" s="52">
        <f t="shared" si="579"/>
        <v>5.3061636612180954E-2</v>
      </c>
    </row>
    <row r="3066" spans="27:29">
      <c r="AA3066" s="50">
        <v>373.9</v>
      </c>
      <c r="AB3066" s="51">
        <v>88.394999999999996</v>
      </c>
      <c r="AC3066" s="52">
        <f t="shared" si="579"/>
        <v>5.3572299849169558E-2</v>
      </c>
    </row>
    <row r="3067" spans="27:29">
      <c r="AA3067" s="50">
        <v>373.8</v>
      </c>
      <c r="AB3067" s="51">
        <v>88.454999999999998</v>
      </c>
      <c r="AC3067" s="52">
        <f t="shared" si="579"/>
        <v>5.3277613166512194E-2</v>
      </c>
    </row>
    <row r="3068" spans="27:29">
      <c r="AA3068" s="50">
        <v>373.7</v>
      </c>
      <c r="AB3068" s="51">
        <v>88.570999999999998</v>
      </c>
      <c r="AC3068" s="52">
        <f t="shared" si="579"/>
        <v>5.2708451945999504E-2</v>
      </c>
    </row>
    <row r="3069" spans="27:29">
      <c r="AA3069" s="50">
        <v>373.6</v>
      </c>
      <c r="AB3069" s="51">
        <v>88.52</v>
      </c>
      <c r="AC3069" s="52">
        <f t="shared" si="579"/>
        <v>5.2958594744779666E-2</v>
      </c>
    </row>
    <row r="3070" spans="27:29">
      <c r="AA3070" s="50">
        <v>373.5</v>
      </c>
      <c r="AB3070" s="51">
        <v>88.49</v>
      </c>
      <c r="AC3070" s="52">
        <f t="shared" si="579"/>
        <v>5.3105804897673269E-2</v>
      </c>
    </row>
    <row r="3071" spans="27:29">
      <c r="AA3071" s="50">
        <v>373.4</v>
      </c>
      <c r="AB3071" s="51">
        <v>88.415000000000006</v>
      </c>
      <c r="AC3071" s="52">
        <f t="shared" si="579"/>
        <v>5.3474048735826257E-2</v>
      </c>
    </row>
    <row r="3072" spans="27:29">
      <c r="AA3072" s="50">
        <v>373.3</v>
      </c>
      <c r="AB3072" s="51">
        <v>88.382000000000005</v>
      </c>
      <c r="AC3072" s="52">
        <f t="shared" si="579"/>
        <v>5.363617499440812E-2</v>
      </c>
    </row>
    <row r="3073" spans="27:29">
      <c r="AA3073" s="50">
        <v>373.2</v>
      </c>
      <c r="AB3073" s="51">
        <v>88.352000000000004</v>
      </c>
      <c r="AC3073" s="52">
        <f t="shared" si="579"/>
        <v>5.3783615040830804E-2</v>
      </c>
    </row>
    <row r="3074" spans="27:29">
      <c r="AA3074" s="50">
        <v>373.1</v>
      </c>
      <c r="AB3074" s="51">
        <v>88.373999999999995</v>
      </c>
      <c r="AC3074" s="52">
        <f t="shared" si="579"/>
        <v>5.3675487446122369E-2</v>
      </c>
    </row>
    <row r="3075" spans="27:29">
      <c r="AA3075" s="50">
        <v>373</v>
      </c>
      <c r="AB3075" s="51">
        <v>88.343999999999994</v>
      </c>
      <c r="AC3075" s="52">
        <f t="shared" si="579"/>
        <v>5.3822940841727354E-2</v>
      </c>
    </row>
    <row r="3076" spans="27:29">
      <c r="AA3076" s="50">
        <v>372.9</v>
      </c>
      <c r="AB3076" s="51">
        <v>88.287999999999997</v>
      </c>
      <c r="AC3076" s="52">
        <f t="shared" si="579"/>
        <v>5.4098321200908558E-2</v>
      </c>
    </row>
    <row r="3077" spans="27:29">
      <c r="AA3077" s="50">
        <v>372.8</v>
      </c>
      <c r="AB3077" s="51">
        <v>88.188000000000002</v>
      </c>
      <c r="AC3077" s="52">
        <f t="shared" si="579"/>
        <v>5.4590506572727966E-2</v>
      </c>
    </row>
    <row r="3078" spans="27:29">
      <c r="AA3078" s="50">
        <v>372.7</v>
      </c>
      <c r="AB3078" s="51">
        <v>88.123999999999995</v>
      </c>
      <c r="AC3078" s="52">
        <f t="shared" si="579"/>
        <v>5.4905798192840007E-2</v>
      </c>
    </row>
    <row r="3079" spans="27:29">
      <c r="AA3079" s="50">
        <v>372.6</v>
      </c>
      <c r="AB3079" s="51">
        <v>88.061000000000007</v>
      </c>
      <c r="AC3079" s="52">
        <f t="shared" si="579"/>
        <v>5.5216387102520463E-2</v>
      </c>
    </row>
    <row r="3080" spans="27:29">
      <c r="AA3080" s="50">
        <v>372.5</v>
      </c>
      <c r="AB3080" s="51">
        <v>87.950999999999993</v>
      </c>
      <c r="AC3080" s="52">
        <f t="shared" si="579"/>
        <v>5.575921826436038E-2</v>
      </c>
    </row>
    <row r="3081" spans="27:29">
      <c r="AA3081" s="50">
        <v>372.4</v>
      </c>
      <c r="AB3081" s="51">
        <v>87.864999999999995</v>
      </c>
      <c r="AC3081" s="52">
        <f t="shared" si="579"/>
        <v>5.6184086631545171E-2</v>
      </c>
    </row>
    <row r="3082" spans="27:29">
      <c r="AA3082" s="50">
        <v>372.3</v>
      </c>
      <c r="AB3082" s="51">
        <v>87.798000000000002</v>
      </c>
      <c r="AC3082" s="52">
        <f t="shared" ref="AC3082:AC3145" si="580">-LOG(AB3082/100)</f>
        <v>5.6515377019373175E-2</v>
      </c>
    </row>
    <row r="3083" spans="27:29">
      <c r="AA3083" s="50">
        <v>372.2</v>
      </c>
      <c r="AB3083" s="51">
        <v>87.686999999999998</v>
      </c>
      <c r="AC3083" s="52">
        <f t="shared" si="580"/>
        <v>5.7064788010858396E-2</v>
      </c>
    </row>
    <row r="3084" spans="27:29">
      <c r="AA3084" s="50">
        <v>372.1</v>
      </c>
      <c r="AB3084" s="51">
        <v>87.522999999999996</v>
      </c>
      <c r="AC3084" s="52">
        <f t="shared" si="580"/>
        <v>5.7877804571931271E-2</v>
      </c>
    </row>
    <row r="3085" spans="27:29">
      <c r="AA3085" s="50">
        <v>372</v>
      </c>
      <c r="AB3085" s="51">
        <v>87.268000000000001</v>
      </c>
      <c r="AC3085" s="52">
        <f t="shared" si="580"/>
        <v>5.914497704023209E-2</v>
      </c>
    </row>
    <row r="3086" spans="27:29">
      <c r="AA3086" s="50">
        <v>371.9</v>
      </c>
      <c r="AB3086" s="51">
        <v>87.028000000000006</v>
      </c>
      <c r="AC3086" s="52">
        <f t="shared" si="580"/>
        <v>6.0340996932048918E-2</v>
      </c>
    </row>
    <row r="3087" spans="27:29">
      <c r="AA3087" s="50">
        <v>371.8</v>
      </c>
      <c r="AB3087" s="51">
        <v>86.789000000000001</v>
      </c>
      <c r="AC3087" s="52">
        <f t="shared" si="580"/>
        <v>6.1535315630325674E-2</v>
      </c>
    </row>
    <row r="3088" spans="27:29">
      <c r="AA3088" s="50">
        <v>371.7</v>
      </c>
      <c r="AB3088" s="51">
        <v>86.620999999999995</v>
      </c>
      <c r="AC3088" s="52">
        <f t="shared" si="580"/>
        <v>6.2376806845208757E-2</v>
      </c>
    </row>
    <row r="3089" spans="27:29">
      <c r="AA3089" s="50">
        <v>371.6</v>
      </c>
      <c r="AB3089" s="51">
        <v>86.29</v>
      </c>
      <c r="AC3089" s="52">
        <f t="shared" si="580"/>
        <v>6.4039531010833484E-2</v>
      </c>
    </row>
    <row r="3090" spans="27:29">
      <c r="AA3090" s="50">
        <v>371.5</v>
      </c>
      <c r="AB3090" s="51">
        <v>86.105999999999995</v>
      </c>
      <c r="AC3090" s="52">
        <f t="shared" si="580"/>
        <v>6.4966585176979813E-2</v>
      </c>
    </row>
    <row r="3091" spans="27:29">
      <c r="AA3091" s="50">
        <v>371.4</v>
      </c>
      <c r="AB3091" s="51">
        <v>85.704999999999998</v>
      </c>
      <c r="AC3091" s="52">
        <f t="shared" si="580"/>
        <v>6.6993840748134276E-2</v>
      </c>
    </row>
    <row r="3092" spans="27:29">
      <c r="AA3092" s="50">
        <v>371.3</v>
      </c>
      <c r="AB3092" s="51">
        <v>85.353999999999999</v>
      </c>
      <c r="AC3092" s="52">
        <f t="shared" si="580"/>
        <v>6.8776121447645638E-2</v>
      </c>
    </row>
    <row r="3093" spans="27:29">
      <c r="AA3093" s="50">
        <v>371.2</v>
      </c>
      <c r="AB3093" s="51">
        <v>84.986000000000004</v>
      </c>
      <c r="AC3093" s="52">
        <f t="shared" si="580"/>
        <v>7.0652611032973392E-2</v>
      </c>
    </row>
    <row r="3094" spans="27:29">
      <c r="AA3094" s="50">
        <v>371.1</v>
      </c>
      <c r="AB3094" s="51">
        <v>84.555999999999997</v>
      </c>
      <c r="AC3094" s="52">
        <f t="shared" si="580"/>
        <v>7.2855569917947699E-2</v>
      </c>
    </row>
    <row r="3095" spans="27:29">
      <c r="AA3095" s="50">
        <v>371</v>
      </c>
      <c r="AB3095" s="51">
        <v>84.14</v>
      </c>
      <c r="AC3095" s="52">
        <f t="shared" si="580"/>
        <v>7.4997492319022432E-2</v>
      </c>
    </row>
    <row r="3096" spans="27:29">
      <c r="AA3096" s="50">
        <v>370.9</v>
      </c>
      <c r="AB3096" s="51">
        <v>83.725999999999999</v>
      </c>
      <c r="AC3096" s="52">
        <f t="shared" si="580"/>
        <v>7.7139656664914319E-2</v>
      </c>
    </row>
    <row r="3097" spans="27:29">
      <c r="AA3097" s="50">
        <v>370.8</v>
      </c>
      <c r="AB3097" s="51">
        <v>83.271000000000001</v>
      </c>
      <c r="AC3097" s="52">
        <f t="shared" si="580"/>
        <v>7.9506219875457723E-2</v>
      </c>
    </row>
    <row r="3098" spans="27:29">
      <c r="AA3098" s="50">
        <v>370.7</v>
      </c>
      <c r="AB3098" s="51">
        <v>82.74</v>
      </c>
      <c r="AC3098" s="52">
        <f t="shared" si="580"/>
        <v>8.2284483440506651E-2</v>
      </c>
    </row>
    <row r="3099" spans="27:29">
      <c r="AA3099" s="50">
        <v>370.6</v>
      </c>
      <c r="AB3099" s="51">
        <v>82.269000000000005</v>
      </c>
      <c r="AC3099" s="52">
        <f t="shared" si="580"/>
        <v>8.4763781618339071E-2</v>
      </c>
    </row>
    <row r="3100" spans="27:29">
      <c r="AA3100" s="50">
        <v>370.5</v>
      </c>
      <c r="AB3100" s="51">
        <v>81.825999999999993</v>
      </c>
      <c r="AC3100" s="52">
        <f t="shared" si="580"/>
        <v>8.7108678451022867E-2</v>
      </c>
    </row>
    <row r="3101" spans="27:29">
      <c r="AA3101" s="50">
        <v>370.4</v>
      </c>
      <c r="AB3101" s="51">
        <v>81.397999999999996</v>
      </c>
      <c r="AC3101" s="52">
        <f t="shared" si="580"/>
        <v>8.9386265867980721E-2</v>
      </c>
    </row>
    <row r="3102" spans="27:29">
      <c r="AA3102" s="50">
        <v>370.3</v>
      </c>
      <c r="AB3102" s="51">
        <v>80.915000000000006</v>
      </c>
      <c r="AC3102" s="52">
        <f t="shared" si="580"/>
        <v>9.1970961535183623E-2</v>
      </c>
    </row>
    <row r="3103" spans="27:29">
      <c r="AA3103" s="50">
        <v>370.2</v>
      </c>
      <c r="AB3103" s="51">
        <v>80.484999999999999</v>
      </c>
      <c r="AC3103" s="52">
        <f t="shared" si="580"/>
        <v>9.428505161023383E-2</v>
      </c>
    </row>
    <row r="3104" spans="27:29">
      <c r="AA3104" s="50">
        <v>370.1</v>
      </c>
      <c r="AB3104" s="51">
        <v>79.965000000000003</v>
      </c>
      <c r="AC3104" s="52">
        <f t="shared" si="580"/>
        <v>9.7100058419354748E-2</v>
      </c>
    </row>
    <row r="3105" spans="27:29">
      <c r="AA3105" s="50">
        <v>370</v>
      </c>
      <c r="AB3105" s="51">
        <v>79.516000000000005</v>
      </c>
      <c r="AC3105" s="52">
        <f t="shared" si="580"/>
        <v>9.9545474959091593E-2</v>
      </c>
    </row>
    <row r="3106" spans="27:29">
      <c r="AA3106" s="50">
        <v>369.9</v>
      </c>
      <c r="AB3106" s="51">
        <v>79.198999999999998</v>
      </c>
      <c r="AC3106" s="52">
        <f t="shared" si="580"/>
        <v>0.10128030196131062</v>
      </c>
    </row>
    <row r="3107" spans="27:29">
      <c r="AA3107" s="50">
        <v>369.8</v>
      </c>
      <c r="AB3107" s="51">
        <v>78.760000000000005</v>
      </c>
      <c r="AC3107" s="52">
        <f t="shared" si="580"/>
        <v>0.10369429253391936</v>
      </c>
    </row>
    <row r="3108" spans="27:29">
      <c r="AA3108" s="50">
        <v>369.7</v>
      </c>
      <c r="AB3108" s="51">
        <v>78.319000000000003</v>
      </c>
      <c r="AC3108" s="52">
        <f t="shared" si="580"/>
        <v>0.10613286636904638</v>
      </c>
    </row>
    <row r="3109" spans="27:29">
      <c r="AA3109" s="50">
        <v>369.6</v>
      </c>
      <c r="AB3109" s="51">
        <v>77.929000000000002</v>
      </c>
      <c r="AC3109" s="52">
        <f t="shared" si="580"/>
        <v>0.1083008966758483</v>
      </c>
    </row>
    <row r="3110" spans="27:29">
      <c r="AA3110" s="50">
        <v>369.5</v>
      </c>
      <c r="AB3110" s="51">
        <v>77.617000000000004</v>
      </c>
      <c r="AC3110" s="52">
        <f t="shared" si="580"/>
        <v>0.11004314732937764</v>
      </c>
    </row>
    <row r="3111" spans="27:29">
      <c r="AA3111" s="50">
        <v>369.4</v>
      </c>
      <c r="AB3111" s="51">
        <v>77.293000000000006</v>
      </c>
      <c r="AC3111" s="52">
        <f t="shared" si="580"/>
        <v>0.11185983595269636</v>
      </c>
    </row>
    <row r="3112" spans="27:29">
      <c r="AA3112" s="50">
        <v>369.3</v>
      </c>
      <c r="AB3112" s="51">
        <v>77.034999999999997</v>
      </c>
      <c r="AC3112" s="52">
        <f t="shared" si="580"/>
        <v>0.11331191309637641</v>
      </c>
    </row>
    <row r="3113" spans="27:29">
      <c r="AA3113" s="50">
        <v>369.2</v>
      </c>
      <c r="AB3113" s="51">
        <v>76.801000000000002</v>
      </c>
      <c r="AC3113" s="52">
        <f t="shared" si="580"/>
        <v>0.11463312512923685</v>
      </c>
    </row>
    <row r="3114" spans="27:29">
      <c r="AA3114" s="50">
        <v>369.1</v>
      </c>
      <c r="AB3114" s="51">
        <v>76.611999999999995</v>
      </c>
      <c r="AC3114" s="52">
        <f t="shared" si="580"/>
        <v>0.11570320000693485</v>
      </c>
    </row>
    <row r="3115" spans="27:29">
      <c r="AA3115" s="50">
        <v>369</v>
      </c>
      <c r="AB3115" s="51">
        <v>76.444999999999993</v>
      </c>
      <c r="AC3115" s="52">
        <f t="shared" si="580"/>
        <v>0.11665091500538477</v>
      </c>
    </row>
    <row r="3116" spans="27:29">
      <c r="AA3116" s="50">
        <v>368.9</v>
      </c>
      <c r="AB3116" s="51">
        <v>76.263000000000005</v>
      </c>
      <c r="AC3116" s="52">
        <f t="shared" si="580"/>
        <v>0.11768611464300319</v>
      </c>
    </row>
    <row r="3117" spans="27:29">
      <c r="AA3117" s="50">
        <v>368.8</v>
      </c>
      <c r="AB3117" s="51">
        <v>76.16</v>
      </c>
      <c r="AC3117" s="52">
        <f t="shared" si="580"/>
        <v>0.1182730646235821</v>
      </c>
    </row>
    <row r="3118" spans="27:29">
      <c r="AA3118" s="50">
        <v>368.7</v>
      </c>
      <c r="AB3118" s="51">
        <v>75.981999999999999</v>
      </c>
      <c r="AC3118" s="52">
        <f t="shared" si="580"/>
        <v>0.11928927912122747</v>
      </c>
    </row>
    <row r="3119" spans="27:29">
      <c r="AA3119" s="50">
        <v>368.6</v>
      </c>
      <c r="AB3119" s="51">
        <v>75.938999999999993</v>
      </c>
      <c r="AC3119" s="52">
        <f t="shared" si="580"/>
        <v>0.11953512614988755</v>
      </c>
    </row>
    <row r="3120" spans="27:29">
      <c r="AA3120" s="50">
        <v>368.5</v>
      </c>
      <c r="AB3120" s="51">
        <v>75.834000000000003</v>
      </c>
      <c r="AC3120" s="52">
        <f t="shared" si="580"/>
        <v>0.12013603576984615</v>
      </c>
    </row>
    <row r="3121" spans="27:29">
      <c r="AA3121" s="50">
        <v>368.4</v>
      </c>
      <c r="AB3121" s="51">
        <v>75.768000000000001</v>
      </c>
      <c r="AC3121" s="52">
        <f t="shared" si="580"/>
        <v>0.12051417639617661</v>
      </c>
    </row>
    <row r="3122" spans="27:29">
      <c r="AA3122" s="50">
        <v>368.3</v>
      </c>
      <c r="AB3122" s="51">
        <v>75.722999999999999</v>
      </c>
      <c r="AC3122" s="52">
        <f t="shared" si="580"/>
        <v>0.12077218845313659</v>
      </c>
    </row>
    <row r="3123" spans="27:29">
      <c r="AA3123" s="50">
        <v>368.2</v>
      </c>
      <c r="AB3123" s="51">
        <v>75.626000000000005</v>
      </c>
      <c r="AC3123" s="52">
        <f t="shared" si="580"/>
        <v>0.12132886964049207</v>
      </c>
    </row>
    <row r="3124" spans="27:29">
      <c r="AA3124" s="50">
        <v>368.1</v>
      </c>
      <c r="AB3124" s="51">
        <v>75.622</v>
      </c>
      <c r="AC3124" s="52">
        <f t="shared" si="580"/>
        <v>0.12135184089205267</v>
      </c>
    </row>
    <row r="3125" spans="27:29">
      <c r="AA3125" s="50">
        <v>368</v>
      </c>
      <c r="AB3125" s="51">
        <v>75.613</v>
      </c>
      <c r="AC3125" s="52">
        <f t="shared" si="580"/>
        <v>0.12140353065092786</v>
      </c>
    </row>
    <row r="3126" spans="27:29">
      <c r="AA3126" s="50">
        <v>367.9</v>
      </c>
      <c r="AB3126" s="51">
        <v>75.564999999999998</v>
      </c>
      <c r="AC3126" s="52">
        <f t="shared" si="580"/>
        <v>0.12167931331549361</v>
      </c>
    </row>
    <row r="3127" spans="27:29">
      <c r="AA3127" s="50">
        <v>367.8</v>
      </c>
      <c r="AB3127" s="51">
        <v>75.489000000000004</v>
      </c>
      <c r="AC3127" s="52">
        <f t="shared" si="580"/>
        <v>0.12211632767340182</v>
      </c>
    </row>
    <row r="3128" spans="27:29">
      <c r="AA3128" s="50">
        <v>367.7</v>
      </c>
      <c r="AB3128" s="51">
        <v>75.417000000000002</v>
      </c>
      <c r="AC3128" s="52">
        <f t="shared" si="580"/>
        <v>0.12253074731304189</v>
      </c>
    </row>
    <row r="3129" spans="27:29">
      <c r="AA3129" s="50">
        <v>367.6</v>
      </c>
      <c r="AB3129" s="51">
        <v>75.277000000000001</v>
      </c>
      <c r="AC3129" s="52">
        <f t="shared" si="580"/>
        <v>0.12333769709152143</v>
      </c>
    </row>
    <row r="3130" spans="27:29">
      <c r="AA3130" s="50">
        <v>367.5</v>
      </c>
      <c r="AB3130" s="51">
        <v>75.138999999999996</v>
      </c>
      <c r="AC3130" s="52">
        <f t="shared" si="580"/>
        <v>0.1241345891152191</v>
      </c>
    </row>
    <row r="3131" spans="27:29">
      <c r="AA3131" s="50">
        <v>367.4</v>
      </c>
      <c r="AB3131" s="51">
        <v>74.960999999999999</v>
      </c>
      <c r="AC3131" s="52">
        <f t="shared" si="580"/>
        <v>0.12516462847586662</v>
      </c>
    </row>
    <row r="3132" spans="27:29">
      <c r="AA3132" s="50">
        <v>367.3</v>
      </c>
      <c r="AB3132" s="51">
        <v>74.742000000000004</v>
      </c>
      <c r="AC3132" s="52">
        <f t="shared" si="580"/>
        <v>0.12643528516790994</v>
      </c>
    </row>
    <row r="3133" spans="27:29">
      <c r="AA3133" s="50">
        <v>367.2</v>
      </c>
      <c r="AB3133" s="51">
        <v>74.510000000000005</v>
      </c>
      <c r="AC3133" s="52">
        <f t="shared" si="580"/>
        <v>0.1277854366024144</v>
      </c>
    </row>
    <row r="3134" spans="27:29">
      <c r="AA3134" s="50">
        <v>367.1</v>
      </c>
      <c r="AB3134" s="51">
        <v>74.248000000000005</v>
      </c>
      <c r="AC3134" s="52">
        <f t="shared" si="580"/>
        <v>0.12931524033616665</v>
      </c>
    </row>
    <row r="3135" spans="27:29">
      <c r="AA3135" s="50">
        <v>367</v>
      </c>
      <c r="AB3135" s="51">
        <v>73.92</v>
      </c>
      <c r="AC3135" s="52">
        <f t="shared" si="580"/>
        <v>0.13123804178794973</v>
      </c>
    </row>
    <row r="3136" spans="27:29">
      <c r="AA3136" s="50">
        <v>366.9</v>
      </c>
      <c r="AB3136" s="51">
        <v>73.492999999999995</v>
      </c>
      <c r="AC3136" s="52">
        <f t="shared" si="580"/>
        <v>0.13375402426474856</v>
      </c>
    </row>
    <row r="3137" spans="27:29">
      <c r="AA3137" s="50">
        <v>366.8</v>
      </c>
      <c r="AB3137" s="51">
        <v>73.085999999999999</v>
      </c>
      <c r="AC3137" s="52">
        <f t="shared" si="580"/>
        <v>0.13616580642174136</v>
      </c>
    </row>
    <row r="3138" spans="27:29">
      <c r="AA3138" s="50">
        <v>366.7</v>
      </c>
      <c r="AB3138" s="51">
        <v>72.682000000000002</v>
      </c>
      <c r="AC3138" s="52">
        <f t="shared" si="580"/>
        <v>0.13857313066211613</v>
      </c>
    </row>
    <row r="3139" spans="27:29">
      <c r="AA3139" s="50">
        <v>366.6</v>
      </c>
      <c r="AB3139" s="51">
        <v>72.144999999999996</v>
      </c>
      <c r="AC3139" s="52">
        <f t="shared" si="580"/>
        <v>0.14179376225107729</v>
      </c>
    </row>
    <row r="3140" spans="27:29">
      <c r="AA3140" s="50">
        <v>366.5</v>
      </c>
      <c r="AB3140" s="51">
        <v>71.572999999999993</v>
      </c>
      <c r="AC3140" s="52">
        <f t="shared" si="580"/>
        <v>0.14525077884390342</v>
      </c>
    </row>
    <row r="3141" spans="27:29">
      <c r="AA3141" s="50">
        <v>366.4</v>
      </c>
      <c r="AB3141" s="51">
        <v>70.975999999999999</v>
      </c>
      <c r="AC3141" s="52">
        <f t="shared" si="580"/>
        <v>0.14888847986695281</v>
      </c>
    </row>
    <row r="3142" spans="27:29">
      <c r="AA3142" s="50">
        <v>366.3</v>
      </c>
      <c r="AB3142" s="51">
        <v>70.317999999999998</v>
      </c>
      <c r="AC3142" s="52">
        <f t="shared" si="580"/>
        <v>0.15293349005766319</v>
      </c>
    </row>
    <row r="3143" spans="27:29">
      <c r="AA3143" s="50">
        <v>366.2</v>
      </c>
      <c r="AB3143" s="51">
        <v>69.599000000000004</v>
      </c>
      <c r="AC3143" s="52">
        <f t="shared" si="580"/>
        <v>0.15739700029751066</v>
      </c>
    </row>
    <row r="3144" spans="27:29">
      <c r="AA3144" s="50">
        <v>366.1</v>
      </c>
      <c r="AB3144" s="51">
        <v>68.853999999999999</v>
      </c>
      <c r="AC3144" s="52">
        <f t="shared" si="580"/>
        <v>0.16207082479751672</v>
      </c>
    </row>
    <row r="3145" spans="27:29">
      <c r="AA3145" s="50">
        <v>366</v>
      </c>
      <c r="AB3145" s="51">
        <v>68.081000000000003</v>
      </c>
      <c r="AC3145" s="52">
        <f t="shared" si="580"/>
        <v>0.16697407379167731</v>
      </c>
    </row>
    <row r="3146" spans="27:29">
      <c r="AA3146" s="50">
        <v>365.9</v>
      </c>
      <c r="AB3146" s="51">
        <v>67.245999999999995</v>
      </c>
      <c r="AC3146" s="52">
        <f t="shared" ref="AC3146:AC3209" si="581">-LOG(AB3146/100)</f>
        <v>0.17233354373585846</v>
      </c>
    </row>
    <row r="3147" spans="27:29">
      <c r="AA3147" s="50">
        <v>365.8</v>
      </c>
      <c r="AB3147" s="51">
        <v>66.340999999999994</v>
      </c>
      <c r="AC3147" s="52">
        <f t="shared" si="581"/>
        <v>0.1782179863708222</v>
      </c>
    </row>
    <row r="3148" spans="27:29">
      <c r="AA3148" s="50">
        <v>365.7</v>
      </c>
      <c r="AB3148" s="51">
        <v>65.382000000000005</v>
      </c>
      <c r="AC3148" s="52">
        <f t="shared" si="581"/>
        <v>0.18454179871926496</v>
      </c>
    </row>
    <row r="3149" spans="27:29">
      <c r="AA3149" s="50">
        <v>365.6</v>
      </c>
      <c r="AB3149" s="51">
        <v>64.488</v>
      </c>
      <c r="AC3149" s="52">
        <f t="shared" si="581"/>
        <v>0.19052109185522551</v>
      </c>
    </row>
    <row r="3150" spans="27:29">
      <c r="AA3150" s="50">
        <v>365.5</v>
      </c>
      <c r="AB3150" s="51">
        <v>63.509</v>
      </c>
      <c r="AC3150" s="52">
        <f t="shared" si="581"/>
        <v>0.19716472552105849</v>
      </c>
    </row>
    <row r="3151" spans="27:29">
      <c r="AA3151" s="50">
        <v>365.4</v>
      </c>
      <c r="AB3151" s="51">
        <v>62.582999999999998</v>
      </c>
      <c r="AC3151" s="52">
        <f t="shared" si="581"/>
        <v>0.20354362220264943</v>
      </c>
    </row>
    <row r="3152" spans="27:29">
      <c r="AA3152" s="50">
        <v>365.3</v>
      </c>
      <c r="AB3152" s="51">
        <v>61.667999999999999</v>
      </c>
      <c r="AC3152" s="52">
        <f t="shared" si="581"/>
        <v>0.20994013626720223</v>
      </c>
    </row>
    <row r="3153" spans="27:29">
      <c r="AA3153" s="50">
        <v>365.2</v>
      </c>
      <c r="AB3153" s="51">
        <v>60.783000000000001</v>
      </c>
      <c r="AC3153" s="52">
        <f t="shared" si="581"/>
        <v>0.21621786872970733</v>
      </c>
    </row>
    <row r="3154" spans="27:29">
      <c r="AA3154" s="50">
        <v>365.1</v>
      </c>
      <c r="AB3154" s="51">
        <v>59.942999999999998</v>
      </c>
      <c r="AC3154" s="52">
        <f t="shared" si="581"/>
        <v>0.22226152547375563</v>
      </c>
    </row>
    <row r="3155" spans="27:29">
      <c r="AA3155" s="50">
        <v>365</v>
      </c>
      <c r="AB3155" s="51">
        <v>59.107999999999997</v>
      </c>
      <c r="AC3155" s="52">
        <f t="shared" si="581"/>
        <v>0.22835373535012443</v>
      </c>
    </row>
    <row r="3156" spans="27:29">
      <c r="AA3156" s="50">
        <v>364.9</v>
      </c>
      <c r="AB3156" s="51">
        <v>58.384999999999998</v>
      </c>
      <c r="AC3156" s="52">
        <f t="shared" si="581"/>
        <v>0.23369871545581342</v>
      </c>
    </row>
    <row r="3157" spans="27:29">
      <c r="AA3157" s="50">
        <v>364.8</v>
      </c>
      <c r="AB3157" s="51">
        <v>57.673999999999999</v>
      </c>
      <c r="AC3157" s="52">
        <f t="shared" si="581"/>
        <v>0.23901992690217816</v>
      </c>
    </row>
    <row r="3158" spans="27:29">
      <c r="AA3158" s="50">
        <v>364.7</v>
      </c>
      <c r="AB3158" s="51">
        <v>57.048999999999999</v>
      </c>
      <c r="AC3158" s="52">
        <f t="shared" si="581"/>
        <v>0.24375196383626985</v>
      </c>
    </row>
    <row r="3159" spans="27:29">
      <c r="AA3159" s="50">
        <v>364.6</v>
      </c>
      <c r="AB3159" s="51">
        <v>56.329000000000001</v>
      </c>
      <c r="AC3159" s="52">
        <f t="shared" si="581"/>
        <v>0.24926795865878845</v>
      </c>
    </row>
    <row r="3160" spans="27:29">
      <c r="AA3160" s="50">
        <v>364.5</v>
      </c>
      <c r="AB3160" s="51">
        <v>55.692</v>
      </c>
      <c r="AC3160" s="52">
        <f t="shared" si="581"/>
        <v>0.2542071855333452</v>
      </c>
    </row>
    <row r="3161" spans="27:29">
      <c r="AA3161" s="50">
        <v>364.4</v>
      </c>
      <c r="AB3161" s="51">
        <v>55.052</v>
      </c>
      <c r="AC3161" s="52">
        <f t="shared" si="581"/>
        <v>0.25922689879602584</v>
      </c>
    </row>
    <row r="3162" spans="27:29">
      <c r="AA3162" s="50">
        <v>364.3</v>
      </c>
      <c r="AB3162" s="51">
        <v>54.418999999999997</v>
      </c>
      <c r="AC3162" s="52">
        <f t="shared" si="581"/>
        <v>0.26424944305005316</v>
      </c>
    </row>
    <row r="3163" spans="27:29">
      <c r="AA3163" s="50">
        <v>364.2</v>
      </c>
      <c r="AB3163" s="51">
        <v>53.665999999999997</v>
      </c>
      <c r="AC3163" s="52">
        <f t="shared" si="581"/>
        <v>0.27030077368383026</v>
      </c>
    </row>
    <row r="3164" spans="27:29">
      <c r="AA3164" s="50">
        <v>364.1</v>
      </c>
      <c r="AB3164" s="51">
        <v>52.918999999999997</v>
      </c>
      <c r="AC3164" s="52">
        <f t="shared" si="581"/>
        <v>0.27638837118493853</v>
      </c>
    </row>
    <row r="3165" spans="27:29">
      <c r="AA3165" s="50">
        <v>364</v>
      </c>
      <c r="AB3165" s="51">
        <v>52.186999999999998</v>
      </c>
      <c r="AC3165" s="52">
        <f t="shared" si="581"/>
        <v>0.28243766809747117</v>
      </c>
    </row>
    <row r="3166" spans="27:29">
      <c r="AA3166" s="50">
        <v>363.9</v>
      </c>
      <c r="AB3166" s="51">
        <v>51.331000000000003</v>
      </c>
      <c r="AC3166" s="52">
        <f t="shared" si="581"/>
        <v>0.2896202749901326</v>
      </c>
    </row>
    <row r="3167" spans="27:29">
      <c r="AA3167" s="50">
        <v>363.8</v>
      </c>
      <c r="AB3167" s="51">
        <v>50.451000000000001</v>
      </c>
      <c r="AC3167" s="52">
        <f t="shared" si="581"/>
        <v>0.29713022109847298</v>
      </c>
    </row>
    <row r="3168" spans="27:29">
      <c r="AA3168" s="50">
        <v>363.7</v>
      </c>
      <c r="AB3168" s="51">
        <v>49.564999999999998</v>
      </c>
      <c r="AC3168" s="52">
        <f t="shared" si="581"/>
        <v>0.30482488948565672</v>
      </c>
    </row>
    <row r="3169" spans="27:29">
      <c r="AA3169" s="50">
        <v>363.6</v>
      </c>
      <c r="AB3169" s="51">
        <v>48.524999999999999</v>
      </c>
      <c r="AC3169" s="52">
        <f t="shared" si="581"/>
        <v>0.31403445593959961</v>
      </c>
    </row>
    <row r="3170" spans="27:29">
      <c r="AA3170" s="50">
        <v>363.5</v>
      </c>
      <c r="AB3170" s="51">
        <v>47.514000000000003</v>
      </c>
      <c r="AC3170" s="52">
        <f t="shared" si="581"/>
        <v>0.32317840665082653</v>
      </c>
    </row>
    <row r="3171" spans="27:29">
      <c r="AA3171" s="50">
        <v>363.4</v>
      </c>
      <c r="AB3171" s="51">
        <v>46.371000000000002</v>
      </c>
      <c r="AC3171" s="52">
        <f t="shared" si="581"/>
        <v>0.3337535383548092</v>
      </c>
    </row>
    <row r="3172" spans="27:29">
      <c r="AA3172" s="50">
        <v>363.3</v>
      </c>
      <c r="AB3172" s="51">
        <v>45.262999999999998</v>
      </c>
      <c r="AC3172" s="52">
        <f t="shared" si="581"/>
        <v>0.34425666469265448</v>
      </c>
    </row>
    <row r="3173" spans="27:29">
      <c r="AA3173" s="50">
        <v>363.2</v>
      </c>
      <c r="AB3173" s="51">
        <v>44.000999999999998</v>
      </c>
      <c r="AC3173" s="52">
        <f t="shared" si="581"/>
        <v>0.35653745329683956</v>
      </c>
    </row>
    <row r="3174" spans="27:29">
      <c r="AA3174" s="50">
        <v>363.1</v>
      </c>
      <c r="AB3174" s="51">
        <v>42.764000000000003</v>
      </c>
      <c r="AC3174" s="52">
        <f t="shared" si="581"/>
        <v>0.36892167912555601</v>
      </c>
    </row>
    <row r="3175" spans="27:29">
      <c r="AA3175" s="50">
        <v>363</v>
      </c>
      <c r="AB3175" s="51">
        <v>41.445</v>
      </c>
      <c r="AC3175" s="52">
        <f t="shared" si="581"/>
        <v>0.38252785602780742</v>
      </c>
    </row>
    <row r="3176" spans="27:29">
      <c r="AA3176" s="50">
        <v>362.9</v>
      </c>
      <c r="AB3176" s="51">
        <v>40.029000000000003</v>
      </c>
      <c r="AC3176" s="52">
        <f t="shared" si="581"/>
        <v>0.39762525925553949</v>
      </c>
    </row>
    <row r="3177" spans="27:29">
      <c r="AA3177" s="50">
        <v>362.8</v>
      </c>
      <c r="AB3177" s="51">
        <v>38.591000000000001</v>
      </c>
      <c r="AC3177" s="52">
        <f t="shared" si="581"/>
        <v>0.41351396750647412</v>
      </c>
    </row>
    <row r="3178" spans="27:29">
      <c r="AA3178" s="50">
        <v>362.7</v>
      </c>
      <c r="AB3178" s="51">
        <v>37.146999999999998</v>
      </c>
      <c r="AC3178" s="52">
        <f t="shared" si="581"/>
        <v>0.43007625420636347</v>
      </c>
    </row>
    <row r="3179" spans="27:29">
      <c r="AA3179" s="50">
        <v>362.6</v>
      </c>
      <c r="AB3179" s="51">
        <v>35.549999999999997</v>
      </c>
      <c r="AC3179" s="52">
        <f t="shared" si="581"/>
        <v>0.44916039493421489</v>
      </c>
    </row>
    <row r="3180" spans="27:29">
      <c r="AA3180" s="50">
        <v>362.5</v>
      </c>
      <c r="AB3180" s="51">
        <v>33.866999999999997</v>
      </c>
      <c r="AC3180" s="52">
        <f t="shared" si="581"/>
        <v>0.47022327224081084</v>
      </c>
    </row>
    <row r="3181" spans="27:29">
      <c r="AA3181" s="50">
        <v>362.4</v>
      </c>
      <c r="AB3181" s="51">
        <v>32.204000000000001</v>
      </c>
      <c r="AC3181" s="52">
        <f t="shared" si="581"/>
        <v>0.49209018202971888</v>
      </c>
    </row>
    <row r="3182" spans="27:29">
      <c r="AA3182" s="50">
        <v>362.3</v>
      </c>
      <c r="AB3182" s="51">
        <v>30.475999999999999</v>
      </c>
      <c r="AC3182" s="52">
        <f t="shared" si="581"/>
        <v>0.51604203509902635</v>
      </c>
    </row>
    <row r="3183" spans="27:29">
      <c r="AA3183" s="50">
        <v>362.2</v>
      </c>
      <c r="AB3183" s="51">
        <v>28.62</v>
      </c>
      <c r="AC3183" s="52">
        <f t="shared" si="581"/>
        <v>0.54333037057624245</v>
      </c>
    </row>
    <row r="3184" spans="27:29">
      <c r="AA3184" s="50">
        <v>362.1</v>
      </c>
      <c r="AB3184" s="51">
        <v>26.597000000000001</v>
      </c>
      <c r="AC3184" s="52">
        <f t="shared" si="581"/>
        <v>0.5751673467118692</v>
      </c>
    </row>
    <row r="3185" spans="27:29">
      <c r="AA3185" s="50">
        <v>362</v>
      </c>
      <c r="AB3185" s="51">
        <v>24.643999999999998</v>
      </c>
      <c r="AC3185" s="52">
        <f t="shared" si="581"/>
        <v>0.60828879987862805</v>
      </c>
    </row>
    <row r="3186" spans="27:29">
      <c r="AA3186" s="50">
        <v>361.9</v>
      </c>
      <c r="AB3186" s="51">
        <v>22.58</v>
      </c>
      <c r="AC3186" s="52">
        <f t="shared" si="581"/>
        <v>0.64627606241105096</v>
      </c>
    </row>
    <row r="3187" spans="27:29">
      <c r="AA3187" s="50">
        <v>361.8</v>
      </c>
      <c r="AB3187" s="51">
        <v>20.52</v>
      </c>
      <c r="AC3187" s="52">
        <f t="shared" si="581"/>
        <v>0.68782264356022138</v>
      </c>
    </row>
    <row r="3188" spans="27:29">
      <c r="AA3188" s="50">
        <v>361.7</v>
      </c>
      <c r="AB3188" s="51">
        <v>18.41</v>
      </c>
      <c r="AC3188" s="52">
        <f t="shared" si="581"/>
        <v>0.73494621149598527</v>
      </c>
    </row>
    <row r="3189" spans="27:29">
      <c r="AA3189" s="50">
        <v>361.6</v>
      </c>
      <c r="AB3189" s="51">
        <v>16.393000000000001</v>
      </c>
      <c r="AC3189" s="52">
        <f t="shared" si="581"/>
        <v>0.78534156112008158</v>
      </c>
    </row>
    <row r="3190" spans="27:29">
      <c r="AA3190" s="50">
        <v>361.5</v>
      </c>
      <c r="AB3190" s="51">
        <v>14.523</v>
      </c>
      <c r="AC3190" s="52">
        <f t="shared" si="581"/>
        <v>0.83794366263944786</v>
      </c>
    </row>
    <row r="3191" spans="27:29">
      <c r="AA3191" s="50">
        <v>361.4</v>
      </c>
      <c r="AB3191" s="51">
        <v>12.840999999999999</v>
      </c>
      <c r="AC3191" s="52">
        <f t="shared" si="581"/>
        <v>0.89140115402643327</v>
      </c>
    </row>
    <row r="3192" spans="27:29">
      <c r="AA3192" s="50">
        <v>361.3</v>
      </c>
      <c r="AB3192" s="51">
        <v>11.365</v>
      </c>
      <c r="AC3192" s="52">
        <f t="shared" si="581"/>
        <v>0.94443055993901037</v>
      </c>
    </row>
    <row r="3193" spans="27:29">
      <c r="AA3193" s="50">
        <v>361.2</v>
      </c>
      <c r="AB3193" s="51">
        <v>10.079000000000001</v>
      </c>
      <c r="AC3193" s="52">
        <f t="shared" si="581"/>
        <v>0.99658255479780633</v>
      </c>
    </row>
    <row r="3194" spans="27:29">
      <c r="AA3194" s="50">
        <v>361.1</v>
      </c>
      <c r="AB3194" s="51">
        <v>9.1677</v>
      </c>
      <c r="AC3194" s="52">
        <f t="shared" si="581"/>
        <v>1.037739606816072</v>
      </c>
    </row>
    <row r="3195" spans="27:29">
      <c r="AA3195" s="50">
        <v>361</v>
      </c>
      <c r="AB3195" s="51">
        <v>8.5813000000000006</v>
      </c>
      <c r="AC3195" s="52">
        <f t="shared" si="581"/>
        <v>1.0664469149415781</v>
      </c>
    </row>
    <row r="3196" spans="27:29">
      <c r="AA3196" s="50">
        <v>360.9</v>
      </c>
      <c r="AB3196" s="51">
        <v>8.3194999999999997</v>
      </c>
      <c r="AC3196" s="52">
        <f t="shared" si="581"/>
        <v>1.0799027739215441</v>
      </c>
    </row>
    <row r="3197" spans="27:29">
      <c r="AA3197" s="50">
        <v>360.8</v>
      </c>
      <c r="AB3197" s="51">
        <v>8.4139999999999997</v>
      </c>
      <c r="AC3197" s="52">
        <f t="shared" si="581"/>
        <v>1.0749974923190224</v>
      </c>
    </row>
    <row r="3198" spans="27:29">
      <c r="AA3198" s="50">
        <v>360.7</v>
      </c>
      <c r="AB3198" s="51">
        <v>8.8835999999999995</v>
      </c>
      <c r="AC3198" s="52">
        <f t="shared" si="581"/>
        <v>1.0514110045701732</v>
      </c>
    </row>
    <row r="3199" spans="27:29">
      <c r="AA3199" s="50">
        <v>360.6</v>
      </c>
      <c r="AB3199" s="51">
        <v>9.7049000000000003</v>
      </c>
      <c r="AC3199" s="52">
        <f t="shared" si="581"/>
        <v>1.0130089352546952</v>
      </c>
    </row>
    <row r="3200" spans="27:29">
      <c r="AA3200" s="50">
        <v>360.5</v>
      </c>
      <c r="AB3200" s="51">
        <v>10.847</v>
      </c>
      <c r="AC3200" s="52">
        <f t="shared" si="581"/>
        <v>0.96469035984319862</v>
      </c>
    </row>
    <row r="3201" spans="27:29">
      <c r="AA3201" s="50">
        <v>360.4</v>
      </c>
      <c r="AB3201" s="51">
        <v>12.375</v>
      </c>
      <c r="AC3201" s="52">
        <f t="shared" si="581"/>
        <v>0.90745479239439364</v>
      </c>
    </row>
    <row r="3202" spans="27:29">
      <c r="AA3202" s="50">
        <v>360.3</v>
      </c>
      <c r="AB3202" s="51">
        <v>14.218999999999999</v>
      </c>
      <c r="AC3202" s="52">
        <f t="shared" si="581"/>
        <v>0.84713094578298753</v>
      </c>
    </row>
    <row r="3203" spans="27:29">
      <c r="AA3203" s="50">
        <v>360.2</v>
      </c>
      <c r="AB3203" s="51">
        <v>16.350999999999999</v>
      </c>
      <c r="AC3203" s="52">
        <f t="shared" si="581"/>
        <v>0.78645568146233324</v>
      </c>
    </row>
    <row r="3204" spans="27:29">
      <c r="AA3204" s="50">
        <v>360.1</v>
      </c>
      <c r="AB3204" s="51">
        <v>18.558</v>
      </c>
      <c r="AC3204" s="52">
        <f t="shared" si="581"/>
        <v>0.73146882961317738</v>
      </c>
    </row>
    <row r="3205" spans="27:29">
      <c r="AA3205" s="50">
        <v>360</v>
      </c>
      <c r="AB3205" s="51">
        <v>20.995999999999999</v>
      </c>
      <c r="AC3205" s="52">
        <f t="shared" si="581"/>
        <v>0.67786343590389708</v>
      </c>
    </row>
    <row r="3206" spans="27:29">
      <c r="AA3206" s="50">
        <v>359.9</v>
      </c>
      <c r="AB3206" s="51">
        <v>23.666</v>
      </c>
      <c r="AC3206" s="52">
        <f t="shared" si="581"/>
        <v>0.62587513982027287</v>
      </c>
    </row>
    <row r="3207" spans="27:29">
      <c r="AA3207" s="50">
        <v>359.8</v>
      </c>
      <c r="AB3207" s="51">
        <v>26.481999999999999</v>
      </c>
      <c r="AC3207" s="52">
        <f t="shared" si="581"/>
        <v>0.57704921877298121</v>
      </c>
    </row>
    <row r="3208" spans="27:29">
      <c r="AA3208" s="50">
        <v>359.7</v>
      </c>
      <c r="AB3208" s="51">
        <v>29.14</v>
      </c>
      <c r="AC3208" s="52">
        <f t="shared" si="581"/>
        <v>0.53551045256602869</v>
      </c>
    </row>
    <row r="3209" spans="27:29">
      <c r="AA3209" s="50">
        <v>359.6</v>
      </c>
      <c r="AB3209" s="51">
        <v>32.018000000000001</v>
      </c>
      <c r="AC3209" s="52">
        <f t="shared" si="581"/>
        <v>0.49460579971501345</v>
      </c>
    </row>
    <row r="3210" spans="27:29">
      <c r="AA3210" s="50">
        <v>359.5</v>
      </c>
      <c r="AB3210" s="51">
        <v>34.835000000000001</v>
      </c>
      <c r="AC3210" s="52">
        <f t="shared" ref="AC3210:AC3273" si="582">-LOG(AB3210/100)</f>
        <v>0.45798418512941191</v>
      </c>
    </row>
    <row r="3211" spans="27:29">
      <c r="AA3211" s="50">
        <v>359.4</v>
      </c>
      <c r="AB3211" s="51">
        <v>37.770000000000003</v>
      </c>
      <c r="AC3211" s="52">
        <f t="shared" si="582"/>
        <v>0.42285301517247492</v>
      </c>
    </row>
    <row r="3212" spans="27:29">
      <c r="AA3212" s="50">
        <v>359.3</v>
      </c>
      <c r="AB3212" s="51">
        <v>40.469000000000001</v>
      </c>
      <c r="AC3212" s="52">
        <f t="shared" si="582"/>
        <v>0.39287752701064799</v>
      </c>
    </row>
    <row r="3213" spans="27:29">
      <c r="AA3213" s="50">
        <v>359.2</v>
      </c>
      <c r="AB3213" s="51">
        <v>43.078000000000003</v>
      </c>
      <c r="AC3213" s="52">
        <f t="shared" si="582"/>
        <v>0.3657444680743035</v>
      </c>
    </row>
    <row r="3214" spans="27:29">
      <c r="AA3214" s="50">
        <v>359.1</v>
      </c>
      <c r="AB3214" s="51">
        <v>45.6</v>
      </c>
      <c r="AC3214" s="52">
        <f t="shared" si="582"/>
        <v>0.341035157335565</v>
      </c>
    </row>
    <row r="3215" spans="27:29">
      <c r="AA3215" s="50">
        <v>359</v>
      </c>
      <c r="AB3215" s="51">
        <v>48.174999999999997</v>
      </c>
      <c r="AC3215" s="52">
        <f t="shared" si="582"/>
        <v>0.31717827667250947</v>
      </c>
    </row>
    <row r="3216" spans="27:29">
      <c r="AA3216" s="50">
        <v>358.9</v>
      </c>
      <c r="AB3216" s="51">
        <v>50.533999999999999</v>
      </c>
      <c r="AC3216" s="52">
        <f t="shared" si="582"/>
        <v>0.29641632398276768</v>
      </c>
    </row>
    <row r="3217" spans="27:29">
      <c r="AA3217" s="50">
        <v>358.8</v>
      </c>
      <c r="AB3217" s="51">
        <v>52.691000000000003</v>
      </c>
      <c r="AC3217" s="52">
        <f t="shared" si="582"/>
        <v>0.2782635590593861</v>
      </c>
    </row>
    <row r="3218" spans="27:29">
      <c r="AA3218" s="50">
        <v>358.7</v>
      </c>
      <c r="AB3218" s="51">
        <v>54.56</v>
      </c>
      <c r="AC3218" s="52">
        <f t="shared" si="582"/>
        <v>0.26312563835157754</v>
      </c>
    </row>
    <row r="3219" spans="27:29">
      <c r="AA3219" s="50">
        <v>358.6</v>
      </c>
      <c r="AB3219" s="51">
        <v>56.484000000000002</v>
      </c>
      <c r="AC3219" s="52">
        <f t="shared" si="582"/>
        <v>0.24807455564577605</v>
      </c>
    </row>
    <row r="3220" spans="27:29">
      <c r="AA3220" s="50">
        <v>358.5</v>
      </c>
      <c r="AB3220" s="51">
        <v>58.225000000000001</v>
      </c>
      <c r="AC3220" s="52">
        <f t="shared" si="582"/>
        <v>0.23489050279328166</v>
      </c>
    </row>
    <row r="3221" spans="27:29">
      <c r="AA3221" s="50">
        <v>358.4</v>
      </c>
      <c r="AB3221" s="51">
        <v>59.87</v>
      </c>
      <c r="AC3221" s="52">
        <f t="shared" si="582"/>
        <v>0.22279074185431516</v>
      </c>
    </row>
    <row r="3222" spans="27:29">
      <c r="AA3222" s="50">
        <v>358.3</v>
      </c>
      <c r="AB3222" s="51">
        <v>61.344999999999999</v>
      </c>
      <c r="AC3222" s="52">
        <f t="shared" si="582"/>
        <v>0.2122208292026882</v>
      </c>
    </row>
    <row r="3223" spans="27:29">
      <c r="AA3223" s="50">
        <v>358.2</v>
      </c>
      <c r="AB3223" s="51">
        <v>62.734999999999999</v>
      </c>
      <c r="AC3223" s="52">
        <f t="shared" si="582"/>
        <v>0.20249009767111964</v>
      </c>
    </row>
    <row r="3224" spans="27:29">
      <c r="AA3224" s="50">
        <v>358.1</v>
      </c>
      <c r="AB3224" s="51">
        <v>64.13</v>
      </c>
      <c r="AC3224" s="52">
        <f t="shared" si="582"/>
        <v>0.1929387600827609</v>
      </c>
    </row>
    <row r="3225" spans="27:29">
      <c r="AA3225" s="50">
        <v>358</v>
      </c>
      <c r="AB3225" s="51">
        <v>65.424999999999997</v>
      </c>
      <c r="AC3225" s="52">
        <f t="shared" si="582"/>
        <v>0.18425626868808143</v>
      </c>
    </row>
    <row r="3226" spans="27:29">
      <c r="AA3226" s="50">
        <v>357.9</v>
      </c>
      <c r="AB3226" s="51">
        <v>66.608000000000004</v>
      </c>
      <c r="AC3226" s="52">
        <f t="shared" si="582"/>
        <v>0.17647360645729782</v>
      </c>
    </row>
    <row r="3227" spans="27:29">
      <c r="AA3227" s="50">
        <v>357.8</v>
      </c>
      <c r="AB3227" s="51">
        <v>67.775000000000006</v>
      </c>
      <c r="AC3227" s="52">
        <f t="shared" si="582"/>
        <v>0.1689304737474768</v>
      </c>
    </row>
    <row r="3228" spans="27:29">
      <c r="AA3228" s="50">
        <v>357.7</v>
      </c>
      <c r="AB3228" s="51">
        <v>68.885000000000005</v>
      </c>
      <c r="AC3228" s="52">
        <f t="shared" si="582"/>
        <v>0.1618753372570769</v>
      </c>
    </row>
    <row r="3229" spans="27:29">
      <c r="AA3229" s="50">
        <v>357.6</v>
      </c>
      <c r="AB3229" s="51">
        <v>70.043999999999997</v>
      </c>
      <c r="AC3229" s="52">
        <f t="shared" si="582"/>
        <v>0.15462906064221527</v>
      </c>
    </row>
    <row r="3230" spans="27:29">
      <c r="AA3230" s="50">
        <v>357.5</v>
      </c>
      <c r="AB3230" s="51">
        <v>71.113</v>
      </c>
      <c r="AC3230" s="52">
        <f t="shared" si="582"/>
        <v>0.1480509996614712</v>
      </c>
    </row>
    <row r="3231" spans="27:29">
      <c r="AA3231" s="50">
        <v>357.4</v>
      </c>
      <c r="AB3231" s="51">
        <v>72.102999999999994</v>
      </c>
      <c r="AC3231" s="52">
        <f t="shared" si="582"/>
        <v>0.14204666515101894</v>
      </c>
    </row>
    <row r="3232" spans="27:29">
      <c r="AA3232" s="50">
        <v>357.3</v>
      </c>
      <c r="AB3232" s="51">
        <v>73.040000000000006</v>
      </c>
      <c r="AC3232" s="52">
        <f t="shared" si="582"/>
        <v>0.13643923547375744</v>
      </c>
    </row>
    <row r="3233" spans="27:29">
      <c r="AA3233" s="50">
        <v>357.2</v>
      </c>
      <c r="AB3233" s="51">
        <v>73.924999999999997</v>
      </c>
      <c r="AC3233" s="52">
        <f t="shared" si="582"/>
        <v>0.13120866680184479</v>
      </c>
    </row>
    <row r="3234" spans="27:29">
      <c r="AA3234" s="50">
        <v>357.1</v>
      </c>
      <c r="AB3234" s="51">
        <v>74.778000000000006</v>
      </c>
      <c r="AC3234" s="52">
        <f t="shared" si="582"/>
        <v>0.12622615459473402</v>
      </c>
    </row>
    <row r="3235" spans="27:29">
      <c r="AA3235" s="50">
        <v>357</v>
      </c>
      <c r="AB3235" s="51">
        <v>75.510000000000005</v>
      </c>
      <c r="AC3235" s="52">
        <f t="shared" si="582"/>
        <v>0.12199552973197479</v>
      </c>
    </row>
    <row r="3236" spans="27:29">
      <c r="AA3236" s="50">
        <v>356.9</v>
      </c>
      <c r="AB3236" s="51">
        <v>76.180999999999997</v>
      </c>
      <c r="AC3236" s="52">
        <f t="shared" si="582"/>
        <v>0.11815333081354097</v>
      </c>
    </row>
    <row r="3237" spans="27:29">
      <c r="AA3237" s="50">
        <v>356.8</v>
      </c>
      <c r="AB3237" s="51">
        <v>76.843000000000004</v>
      </c>
      <c r="AC3237" s="52">
        <f t="shared" si="582"/>
        <v>0.11439568834427578</v>
      </c>
    </row>
    <row r="3238" spans="27:29">
      <c r="AA3238" s="50">
        <v>356.7</v>
      </c>
      <c r="AB3238" s="51">
        <v>77.358000000000004</v>
      </c>
      <c r="AC3238" s="52">
        <f t="shared" si="582"/>
        <v>0.11149476695235412</v>
      </c>
    </row>
    <row r="3239" spans="27:29">
      <c r="AA3239" s="50">
        <v>356.6</v>
      </c>
      <c r="AB3239" s="51">
        <v>77.858000000000004</v>
      </c>
      <c r="AC3239" s="52">
        <f t="shared" si="582"/>
        <v>0.10869675654027885</v>
      </c>
    </row>
    <row r="3240" spans="27:29">
      <c r="AA3240" s="50">
        <v>356.5</v>
      </c>
      <c r="AB3240" s="51">
        <v>78.304000000000002</v>
      </c>
      <c r="AC3240" s="52">
        <f t="shared" si="582"/>
        <v>0.10621605232830479</v>
      </c>
    </row>
    <row r="3241" spans="27:29">
      <c r="AA3241" s="50">
        <v>356.4</v>
      </c>
      <c r="AB3241" s="51">
        <v>78.739000000000004</v>
      </c>
      <c r="AC3241" s="52">
        <f t="shared" si="582"/>
        <v>0.10381010513176463</v>
      </c>
    </row>
    <row r="3242" spans="27:29">
      <c r="AA3242" s="50">
        <v>356.3</v>
      </c>
      <c r="AB3242" s="51">
        <v>79.099999999999994</v>
      </c>
      <c r="AC3242" s="52">
        <f t="shared" si="582"/>
        <v>0.10182351650232349</v>
      </c>
    </row>
    <row r="3243" spans="27:29">
      <c r="AA3243" s="50">
        <v>356.2</v>
      </c>
      <c r="AB3243" s="51">
        <v>79.489000000000004</v>
      </c>
      <c r="AC3243" s="52">
        <f t="shared" si="582"/>
        <v>9.9692966561545471E-2</v>
      </c>
    </row>
    <row r="3244" spans="27:29">
      <c r="AA3244" s="50">
        <v>356.1</v>
      </c>
      <c r="AB3244" s="51">
        <v>79.870999999999995</v>
      </c>
      <c r="AC3244" s="52">
        <f t="shared" si="582"/>
        <v>9.7610878084579189E-2</v>
      </c>
    </row>
    <row r="3245" spans="27:29">
      <c r="AA3245" s="50">
        <v>356</v>
      </c>
      <c r="AB3245" s="51">
        <v>80.2</v>
      </c>
      <c r="AC3245" s="52">
        <f t="shared" si="582"/>
        <v>9.5825631715836468E-2</v>
      </c>
    </row>
    <row r="3246" spans="27:29">
      <c r="AA3246" s="50">
        <v>355.9</v>
      </c>
      <c r="AB3246" s="51">
        <v>80.48</v>
      </c>
      <c r="AC3246" s="52">
        <f t="shared" si="582"/>
        <v>9.4312032288147787E-2</v>
      </c>
    </row>
    <row r="3247" spans="27:29">
      <c r="AA3247" s="50">
        <v>355.8</v>
      </c>
      <c r="AB3247" s="51">
        <v>80.706000000000003</v>
      </c>
      <c r="AC3247" s="52">
        <f t="shared" si="582"/>
        <v>9.3094176925667335E-2</v>
      </c>
    </row>
    <row r="3248" spans="27:29">
      <c r="AA3248" s="50">
        <v>355.7</v>
      </c>
      <c r="AB3248" s="51">
        <v>81.034999999999997</v>
      </c>
      <c r="AC3248" s="52">
        <f t="shared" si="582"/>
        <v>9.1327363543629192E-2</v>
      </c>
    </row>
    <row r="3249" spans="27:29">
      <c r="AA3249" s="50">
        <v>355.6</v>
      </c>
      <c r="AB3249" s="51">
        <v>81.299000000000007</v>
      </c>
      <c r="AC3249" s="52">
        <f t="shared" si="582"/>
        <v>8.991479631433108E-2</v>
      </c>
    </row>
    <row r="3250" spans="27:29">
      <c r="AA3250" s="50">
        <v>355.5</v>
      </c>
      <c r="AB3250" s="51">
        <v>81.498000000000005</v>
      </c>
      <c r="AC3250" s="52">
        <f t="shared" si="582"/>
        <v>8.885304892409103E-2</v>
      </c>
    </row>
    <row r="3251" spans="27:29">
      <c r="AA3251" s="50">
        <v>355.4</v>
      </c>
      <c r="AB3251" s="51">
        <v>81.694000000000003</v>
      </c>
      <c r="AC3251" s="52">
        <f t="shared" si="582"/>
        <v>8.7809838970388659E-2</v>
      </c>
    </row>
    <row r="3252" spans="27:29">
      <c r="AA3252" s="50">
        <v>355.3</v>
      </c>
      <c r="AB3252" s="51">
        <v>81.838999999999999</v>
      </c>
      <c r="AC3252" s="52">
        <f t="shared" si="582"/>
        <v>8.703968595688405E-2</v>
      </c>
    </row>
    <row r="3253" spans="27:29">
      <c r="AA3253" s="50">
        <v>355.2</v>
      </c>
      <c r="AB3253" s="51">
        <v>81.957999999999998</v>
      </c>
      <c r="AC3253" s="52">
        <f t="shared" si="582"/>
        <v>8.6408648118105877E-2</v>
      </c>
    </row>
    <row r="3254" spans="27:29">
      <c r="AA3254" s="50">
        <v>355.1</v>
      </c>
      <c r="AB3254" s="51">
        <v>82.128</v>
      </c>
      <c r="AC3254" s="52">
        <f t="shared" si="582"/>
        <v>8.5508753083312503E-2</v>
      </c>
    </row>
    <row r="3255" spans="27:29">
      <c r="AA3255" s="50">
        <v>355</v>
      </c>
      <c r="AB3255" s="51">
        <v>82.201999999999998</v>
      </c>
      <c r="AC3255" s="52">
        <f t="shared" si="582"/>
        <v>8.5117615812781697E-2</v>
      </c>
    </row>
    <row r="3256" spans="27:29">
      <c r="AA3256" s="50">
        <v>354.9</v>
      </c>
      <c r="AB3256" s="51">
        <v>82.230999999999995</v>
      </c>
      <c r="AC3256" s="52">
        <f t="shared" si="582"/>
        <v>8.496442831263544E-2</v>
      </c>
    </row>
    <row r="3257" spans="27:29">
      <c r="AA3257" s="50">
        <v>354.8</v>
      </c>
      <c r="AB3257" s="51">
        <v>82.298000000000002</v>
      </c>
      <c r="AC3257" s="52">
        <f t="shared" si="582"/>
        <v>8.4610718852346348E-2</v>
      </c>
    </row>
    <row r="3258" spans="27:29">
      <c r="AA3258" s="50">
        <v>354.7</v>
      </c>
      <c r="AB3258" s="51">
        <v>82.370999999999995</v>
      </c>
      <c r="AC3258" s="52">
        <f t="shared" si="582"/>
        <v>8.4225661564626172E-2</v>
      </c>
    </row>
    <row r="3259" spans="27:29">
      <c r="AA3259" s="50">
        <v>354.6</v>
      </c>
      <c r="AB3259" s="51">
        <v>82.319000000000003</v>
      </c>
      <c r="AC3259" s="52">
        <f t="shared" si="582"/>
        <v>8.4499913963793652E-2</v>
      </c>
    </row>
    <row r="3260" spans="27:29">
      <c r="AA3260" s="50">
        <v>354.5</v>
      </c>
      <c r="AB3260" s="51">
        <v>82.26</v>
      </c>
      <c r="AC3260" s="52">
        <f t="shared" si="582"/>
        <v>8.4811294826843714E-2</v>
      </c>
    </row>
    <row r="3261" spans="27:29">
      <c r="AA3261" s="50">
        <v>354.4</v>
      </c>
      <c r="AB3261" s="51">
        <v>82.191000000000003</v>
      </c>
      <c r="AC3261" s="52">
        <f t="shared" si="582"/>
        <v>8.5175735553987997E-2</v>
      </c>
    </row>
    <row r="3262" spans="27:29">
      <c r="AA3262" s="50">
        <v>354.3</v>
      </c>
      <c r="AB3262" s="51">
        <v>82.167000000000002</v>
      </c>
      <c r="AC3262" s="52">
        <f t="shared" si="582"/>
        <v>8.5302569266247352E-2</v>
      </c>
    </row>
    <row r="3263" spans="27:29">
      <c r="AA3263" s="50">
        <v>354.2</v>
      </c>
      <c r="AB3263" s="51">
        <v>82.096000000000004</v>
      </c>
      <c r="AC3263" s="52">
        <f t="shared" si="582"/>
        <v>8.5678002688690427E-2</v>
      </c>
    </row>
    <row r="3264" spans="27:29">
      <c r="AA3264" s="50">
        <v>354.1</v>
      </c>
      <c r="AB3264" s="51">
        <v>81.992999999999995</v>
      </c>
      <c r="AC3264" s="52">
        <f t="shared" si="582"/>
        <v>8.6223223117983652E-2</v>
      </c>
    </row>
    <row r="3265" spans="27:29">
      <c r="AA3265" s="50">
        <v>354</v>
      </c>
      <c r="AB3265" s="51">
        <v>81.936999999999998</v>
      </c>
      <c r="AC3265" s="52">
        <f t="shared" si="582"/>
        <v>8.6519941130948019E-2</v>
      </c>
    </row>
    <row r="3266" spans="27:29">
      <c r="AA3266" s="50">
        <v>353.9</v>
      </c>
      <c r="AB3266" s="51">
        <v>81.887</v>
      </c>
      <c r="AC3266" s="52">
        <f t="shared" si="582"/>
        <v>8.6785039343290599E-2</v>
      </c>
    </row>
    <row r="3267" spans="27:29">
      <c r="AA3267" s="50">
        <v>353.8</v>
      </c>
      <c r="AB3267" s="51">
        <v>81.861000000000004</v>
      </c>
      <c r="AC3267" s="52">
        <f t="shared" si="582"/>
        <v>8.6922954391100329E-2</v>
      </c>
    </row>
    <row r="3268" spans="27:29">
      <c r="AA3268" s="50">
        <v>353.7</v>
      </c>
      <c r="AB3268" s="51">
        <v>81.849999999999994</v>
      </c>
      <c r="AC3268" s="52">
        <f t="shared" si="582"/>
        <v>8.6981316252039809E-2</v>
      </c>
    </row>
    <row r="3269" spans="27:29">
      <c r="AA3269" s="50">
        <v>353.6</v>
      </c>
      <c r="AB3269" s="51">
        <v>81.84</v>
      </c>
      <c r="AC3269" s="52">
        <f t="shared" si="582"/>
        <v>8.7034379295896247E-2</v>
      </c>
    </row>
    <row r="3270" spans="27:29">
      <c r="AA3270" s="50">
        <v>353.5</v>
      </c>
      <c r="AB3270" s="51">
        <v>81.778000000000006</v>
      </c>
      <c r="AC3270" s="52">
        <f t="shared" si="582"/>
        <v>8.7363514955380792E-2</v>
      </c>
    </row>
    <row r="3271" spans="27:29">
      <c r="AA3271" s="50">
        <v>353.4</v>
      </c>
      <c r="AB3271" s="51">
        <v>81.727999999999994</v>
      </c>
      <c r="AC3271" s="52">
        <f t="shared" si="582"/>
        <v>8.7629128752697599E-2</v>
      </c>
    </row>
    <row r="3272" spans="27:29">
      <c r="AA3272" s="50">
        <v>353.3</v>
      </c>
      <c r="AB3272" s="51">
        <v>81.762</v>
      </c>
      <c r="AC3272" s="52">
        <f t="shared" si="582"/>
        <v>8.7448493697372051E-2</v>
      </c>
    </row>
    <row r="3273" spans="27:29">
      <c r="AA3273" s="50">
        <v>353.2</v>
      </c>
      <c r="AB3273" s="51">
        <v>81.710999999999999</v>
      </c>
      <c r="AC3273" s="52">
        <f t="shared" si="582"/>
        <v>8.7719474462338215E-2</v>
      </c>
    </row>
    <row r="3274" spans="27:29">
      <c r="AA3274" s="50">
        <v>353.1</v>
      </c>
      <c r="AB3274" s="51">
        <v>81.659000000000006</v>
      </c>
      <c r="AC3274" s="52">
        <f t="shared" ref="AC3274:AC3337" si="583">-LOG(AB3274/100)</f>
        <v>8.7995942771349936E-2</v>
      </c>
    </row>
    <row r="3275" spans="27:29">
      <c r="AA3275" s="50">
        <v>353</v>
      </c>
      <c r="AB3275" s="51">
        <v>81.664000000000001</v>
      </c>
      <c r="AC3275" s="52">
        <f t="shared" si="583"/>
        <v>8.7969351630969292E-2</v>
      </c>
    </row>
    <row r="3276" spans="27:29">
      <c r="AA3276" s="50">
        <v>352.9</v>
      </c>
      <c r="AB3276" s="51">
        <v>81.685000000000002</v>
      </c>
      <c r="AC3276" s="52">
        <f t="shared" si="583"/>
        <v>8.7857686617161868E-2</v>
      </c>
    </row>
    <row r="3277" spans="27:29">
      <c r="AA3277" s="50">
        <v>352.8</v>
      </c>
      <c r="AB3277" s="51">
        <v>81.656999999999996</v>
      </c>
      <c r="AC3277" s="52">
        <f t="shared" si="583"/>
        <v>8.8006579683395925E-2</v>
      </c>
    </row>
    <row r="3278" spans="27:29">
      <c r="AA3278" s="50">
        <v>352.7</v>
      </c>
      <c r="AB3278" s="51">
        <v>81.599000000000004</v>
      </c>
      <c r="AC3278" s="52">
        <f t="shared" si="583"/>
        <v>8.83151635150487E-2</v>
      </c>
    </row>
    <row r="3279" spans="27:29">
      <c r="AA3279" s="50">
        <v>352.6</v>
      </c>
      <c r="AB3279" s="51">
        <v>81.596999999999994</v>
      </c>
      <c r="AC3279" s="52">
        <f t="shared" si="583"/>
        <v>8.8325808248545246E-2</v>
      </c>
    </row>
    <row r="3280" spans="27:29">
      <c r="AA3280" s="50">
        <v>352.5</v>
      </c>
      <c r="AB3280" s="51">
        <v>81.540999999999997</v>
      </c>
      <c r="AC3280" s="52">
        <f t="shared" si="583"/>
        <v>8.8623966763935053E-2</v>
      </c>
    </row>
    <row r="3281" spans="27:29">
      <c r="AA3281" s="50">
        <v>352.4</v>
      </c>
      <c r="AB3281" s="51">
        <v>81.539000000000001</v>
      </c>
      <c r="AC3281" s="52">
        <f t="shared" si="583"/>
        <v>8.863461906910855E-2</v>
      </c>
    </row>
    <row r="3282" spans="27:29">
      <c r="AA3282" s="50">
        <v>352.3</v>
      </c>
      <c r="AB3282" s="51">
        <v>81.498000000000005</v>
      </c>
      <c r="AC3282" s="52">
        <f t="shared" si="583"/>
        <v>8.885304892409103E-2</v>
      </c>
    </row>
    <row r="3283" spans="27:29">
      <c r="AA3283" s="50">
        <v>352.2</v>
      </c>
      <c r="AB3283" s="51">
        <v>81.507000000000005</v>
      </c>
      <c r="AC3283" s="52">
        <f t="shared" si="583"/>
        <v>8.8805091495286967E-2</v>
      </c>
    </row>
    <row r="3284" spans="27:29">
      <c r="AA3284" s="50">
        <v>352.1</v>
      </c>
      <c r="AB3284" s="51">
        <v>81.498999999999995</v>
      </c>
      <c r="AC3284" s="52">
        <f t="shared" si="583"/>
        <v>8.8847720059364602E-2</v>
      </c>
    </row>
    <row r="3285" spans="27:29">
      <c r="AA3285" s="50">
        <v>352</v>
      </c>
      <c r="AB3285" s="51">
        <v>81.504999999999995</v>
      </c>
      <c r="AC3285" s="52">
        <f t="shared" si="583"/>
        <v>8.8815748244039899E-2</v>
      </c>
    </row>
    <row r="3286" spans="27:29">
      <c r="AA3286" s="50">
        <v>351.9</v>
      </c>
      <c r="AB3286" s="51">
        <v>81.605999999999995</v>
      </c>
      <c r="AC3286" s="52">
        <f t="shared" si="583"/>
        <v>8.8277909002317065E-2</v>
      </c>
    </row>
    <row r="3287" spans="27:29">
      <c r="AA3287" s="50">
        <v>351.8</v>
      </c>
      <c r="AB3287" s="51">
        <v>81.596000000000004</v>
      </c>
      <c r="AC3287" s="52">
        <f t="shared" si="583"/>
        <v>8.83311307131351E-2</v>
      </c>
    </row>
    <row r="3288" spans="27:29">
      <c r="AA3288" s="50">
        <v>351.7</v>
      </c>
      <c r="AB3288" s="51">
        <v>81.613</v>
      </c>
      <c r="AC3288" s="52">
        <f t="shared" si="583"/>
        <v>8.8240657685066115E-2</v>
      </c>
    </row>
    <row r="3289" spans="27:29">
      <c r="AA3289" s="50">
        <v>351.6</v>
      </c>
      <c r="AB3289" s="51">
        <v>81.658000000000001</v>
      </c>
      <c r="AC3289" s="52">
        <f t="shared" si="583"/>
        <v>8.8001261194807529E-2</v>
      </c>
    </row>
    <row r="3290" spans="27:29">
      <c r="AA3290" s="50">
        <v>351.5</v>
      </c>
      <c r="AB3290" s="51">
        <v>81.757000000000005</v>
      </c>
      <c r="AC3290" s="52">
        <f t="shared" si="583"/>
        <v>8.7475052964615524E-2</v>
      </c>
    </row>
    <row r="3291" spans="27:29">
      <c r="AA3291" s="50">
        <v>351.4</v>
      </c>
      <c r="AB3291" s="51">
        <v>81.789000000000001</v>
      </c>
      <c r="AC3291" s="52">
        <f t="shared" si="583"/>
        <v>8.7305101714224134E-2</v>
      </c>
    </row>
    <row r="3292" spans="27:29">
      <c r="AA3292" s="50">
        <v>351.3</v>
      </c>
      <c r="AB3292" s="51">
        <v>81.846000000000004</v>
      </c>
      <c r="AC3292" s="52">
        <f t="shared" si="583"/>
        <v>8.7002540691585695E-2</v>
      </c>
    </row>
    <row r="3293" spans="27:29">
      <c r="AA3293" s="50">
        <v>351.2</v>
      </c>
      <c r="AB3293" s="51">
        <v>81.903000000000006</v>
      </c>
      <c r="AC3293" s="52">
        <f t="shared" si="583"/>
        <v>8.6700190308153444E-2</v>
      </c>
    </row>
    <row r="3294" spans="27:29">
      <c r="AA3294" s="50">
        <v>351.1</v>
      </c>
      <c r="AB3294" s="51">
        <v>81.974000000000004</v>
      </c>
      <c r="AC3294" s="52">
        <f t="shared" si="583"/>
        <v>8.63238725802912E-2</v>
      </c>
    </row>
    <row r="3295" spans="27:29">
      <c r="AA3295" s="50">
        <v>351</v>
      </c>
      <c r="AB3295" s="51">
        <v>82.022999999999996</v>
      </c>
      <c r="AC3295" s="52">
        <f t="shared" si="583"/>
        <v>8.6064350390903405E-2</v>
      </c>
    </row>
    <row r="3296" spans="27:29">
      <c r="AA3296" s="50">
        <v>350.9</v>
      </c>
      <c r="AB3296" s="51">
        <v>82.019000000000005</v>
      </c>
      <c r="AC3296" s="52">
        <f t="shared" si="583"/>
        <v>8.6085530063523263E-2</v>
      </c>
    </row>
    <row r="3297" spans="27:29">
      <c r="AA3297" s="50">
        <v>350.8</v>
      </c>
      <c r="AB3297" s="51">
        <v>82.066999999999993</v>
      </c>
      <c r="AC3297" s="52">
        <f t="shared" si="583"/>
        <v>8.583144213736292E-2</v>
      </c>
    </row>
    <row r="3298" spans="27:29">
      <c r="AA3298" s="50">
        <v>350.7</v>
      </c>
      <c r="AB3298" s="51">
        <v>82.081000000000003</v>
      </c>
      <c r="AC3298" s="52">
        <f t="shared" si="583"/>
        <v>8.575736115238114E-2</v>
      </c>
    </row>
    <row r="3299" spans="27:29">
      <c r="AA3299" s="50">
        <v>350.6</v>
      </c>
      <c r="AB3299" s="51">
        <v>82.105000000000004</v>
      </c>
      <c r="AC3299" s="52">
        <f t="shared" si="583"/>
        <v>8.5630394570091334E-2</v>
      </c>
    </row>
    <row r="3300" spans="27:29">
      <c r="AA3300" s="50">
        <v>350.5</v>
      </c>
      <c r="AB3300" s="51">
        <v>82.085999999999999</v>
      </c>
      <c r="AC3300" s="52">
        <f t="shared" si="583"/>
        <v>8.5730906719880234E-2</v>
      </c>
    </row>
    <row r="3301" spans="27:29">
      <c r="AA3301" s="50">
        <v>350.4</v>
      </c>
      <c r="AB3301" s="51">
        <v>81.957999999999998</v>
      </c>
      <c r="AC3301" s="52">
        <f t="shared" si="583"/>
        <v>8.6408648118105877E-2</v>
      </c>
    </row>
    <row r="3302" spans="27:29">
      <c r="AA3302" s="50">
        <v>350.3</v>
      </c>
      <c r="AB3302" s="51">
        <v>81.847999999999999</v>
      </c>
      <c r="AC3302" s="52">
        <f t="shared" si="583"/>
        <v>8.6991928342155092E-2</v>
      </c>
    </row>
    <row r="3303" spans="27:29">
      <c r="AA3303" s="50">
        <v>350.2</v>
      </c>
      <c r="AB3303" s="51">
        <v>81.757999999999996</v>
      </c>
      <c r="AC3303" s="52">
        <f t="shared" si="583"/>
        <v>8.7469740981226757E-2</v>
      </c>
    </row>
    <row r="3304" spans="27:29">
      <c r="AA3304" s="50">
        <v>350.1</v>
      </c>
      <c r="AB3304" s="51">
        <v>81.671000000000006</v>
      </c>
      <c r="AC3304" s="52">
        <f t="shared" si="583"/>
        <v>8.793212676948603E-2</v>
      </c>
    </row>
    <row r="3305" spans="27:29">
      <c r="AA3305" s="50">
        <v>350</v>
      </c>
      <c r="AB3305" s="51">
        <v>81.537000000000006</v>
      </c>
      <c r="AC3305" s="52">
        <f t="shared" si="583"/>
        <v>8.8645271635566528E-2</v>
      </c>
    </row>
    <row r="3306" spans="27:29">
      <c r="AA3306" s="50">
        <v>349.9</v>
      </c>
      <c r="AB3306" s="51">
        <v>81.408000000000001</v>
      </c>
      <c r="AC3306" s="52">
        <f t="shared" si="583"/>
        <v>8.933291470371775E-2</v>
      </c>
    </row>
    <row r="3307" spans="27:29">
      <c r="AA3307" s="50">
        <v>349.8</v>
      </c>
      <c r="AB3307" s="51">
        <v>81.144999999999996</v>
      </c>
      <c r="AC3307" s="52">
        <f t="shared" si="583"/>
        <v>9.0738235410258675E-2</v>
      </c>
    </row>
    <row r="3308" spans="27:29">
      <c r="AA3308" s="50">
        <v>349.7</v>
      </c>
      <c r="AB3308" s="51">
        <v>80.738</v>
      </c>
      <c r="AC3308" s="52">
        <f t="shared" si="583"/>
        <v>9.2922012910864646E-2</v>
      </c>
    </row>
    <row r="3309" spans="27:29">
      <c r="AA3309" s="50">
        <v>349.6</v>
      </c>
      <c r="AB3309" s="51">
        <v>80.367000000000004</v>
      </c>
      <c r="AC3309" s="52">
        <f t="shared" si="583"/>
        <v>9.4922243041581422E-2</v>
      </c>
    </row>
    <row r="3310" spans="27:29">
      <c r="AA3310" s="50">
        <v>349.5</v>
      </c>
      <c r="AB3310" s="51">
        <v>80.081000000000003</v>
      </c>
      <c r="AC3310" s="52">
        <f t="shared" si="583"/>
        <v>9.6470512304832959E-2</v>
      </c>
    </row>
    <row r="3311" spans="27:29">
      <c r="AA3311" s="50">
        <v>349.4</v>
      </c>
      <c r="AB3311" s="51">
        <v>79.875</v>
      </c>
      <c r="AC3311" s="52">
        <f t="shared" si="583"/>
        <v>9.758912883354344E-2</v>
      </c>
    </row>
    <row r="3312" spans="27:29">
      <c r="AA3312" s="50">
        <v>349.3</v>
      </c>
      <c r="AB3312" s="51">
        <v>79.62</v>
      </c>
      <c r="AC3312" s="52">
        <f t="shared" si="583"/>
        <v>9.897782675192085E-2</v>
      </c>
    </row>
    <row r="3313" spans="27:29">
      <c r="AA3313" s="50">
        <v>349.2</v>
      </c>
      <c r="AB3313" s="51">
        <v>79.302999999999997</v>
      </c>
      <c r="AC3313" s="52">
        <f t="shared" si="583"/>
        <v>0.10071038318931137</v>
      </c>
    </row>
    <row r="3314" spans="27:29">
      <c r="AA3314" s="50">
        <v>349.1</v>
      </c>
      <c r="AB3314" s="51">
        <v>79.016000000000005</v>
      </c>
      <c r="AC3314" s="52">
        <f t="shared" si="583"/>
        <v>0.1022849592394517</v>
      </c>
    </row>
    <row r="3315" spans="27:29">
      <c r="AA3315" s="50">
        <v>349</v>
      </c>
      <c r="AB3315" s="51">
        <v>78.629000000000005</v>
      </c>
      <c r="AC3315" s="52">
        <f t="shared" si="583"/>
        <v>0.10441724763582992</v>
      </c>
    </row>
    <row r="3316" spans="27:29">
      <c r="AA3316" s="50">
        <v>348.9</v>
      </c>
      <c r="AB3316" s="51">
        <v>78.337000000000003</v>
      </c>
      <c r="AC3316" s="52">
        <f t="shared" si="583"/>
        <v>0.10603306424581256</v>
      </c>
    </row>
    <row r="3317" spans="27:29">
      <c r="AA3317" s="50">
        <v>348.8</v>
      </c>
      <c r="AB3317" s="51">
        <v>77.981999999999999</v>
      </c>
      <c r="AC3317" s="52">
        <f t="shared" si="583"/>
        <v>0.1080056306788694</v>
      </c>
    </row>
    <row r="3318" spans="27:29">
      <c r="AA3318" s="50">
        <v>348.7</v>
      </c>
      <c r="AB3318" s="51">
        <v>77.597999999999999</v>
      </c>
      <c r="AC3318" s="52">
        <f t="shared" si="583"/>
        <v>0.11014947204280584</v>
      </c>
    </row>
    <row r="3319" spans="27:29">
      <c r="AA3319" s="50">
        <v>348.6</v>
      </c>
      <c r="AB3319" s="51">
        <v>77.295000000000002</v>
      </c>
      <c r="AC3319" s="52">
        <f t="shared" si="583"/>
        <v>0.11184859848324399</v>
      </c>
    </row>
    <row r="3320" spans="27:29">
      <c r="AA3320" s="50">
        <v>348.5</v>
      </c>
      <c r="AB3320" s="51">
        <v>77.081999999999994</v>
      </c>
      <c r="AC3320" s="52">
        <f t="shared" si="583"/>
        <v>0.11304702549433075</v>
      </c>
    </row>
    <row r="3321" spans="27:29">
      <c r="AA3321" s="50">
        <v>348.4</v>
      </c>
      <c r="AB3321" s="51">
        <v>76.843999999999994</v>
      </c>
      <c r="AC3321" s="52">
        <f t="shared" si="583"/>
        <v>0.11439003666935334</v>
      </c>
    </row>
    <row r="3322" spans="27:29">
      <c r="AA3322" s="50">
        <v>348.3</v>
      </c>
      <c r="AB3322" s="51">
        <v>76.638999999999996</v>
      </c>
      <c r="AC3322" s="52">
        <f t="shared" si="583"/>
        <v>0.11555017064813508</v>
      </c>
    </row>
    <row r="3323" spans="27:29">
      <c r="AA3323" s="50">
        <v>348.2</v>
      </c>
      <c r="AB3323" s="51">
        <v>76.369</v>
      </c>
      <c r="AC3323" s="52">
        <f t="shared" si="583"/>
        <v>0.11708289615038396</v>
      </c>
    </row>
    <row r="3324" spans="27:29">
      <c r="AA3324" s="50">
        <v>348.1</v>
      </c>
      <c r="AB3324" s="51">
        <v>76.207999999999998</v>
      </c>
      <c r="AC3324" s="52">
        <f t="shared" si="583"/>
        <v>0.11799943583248475</v>
      </c>
    </row>
    <row r="3325" spans="27:29">
      <c r="AA3325" s="50">
        <v>348</v>
      </c>
      <c r="AB3325" s="51">
        <v>76.266999999999996</v>
      </c>
      <c r="AC3325" s="52">
        <f t="shared" si="583"/>
        <v>0.11766333646260578</v>
      </c>
    </row>
    <row r="3326" spans="27:29">
      <c r="AA3326" s="50">
        <v>347.9</v>
      </c>
      <c r="AB3326" s="51">
        <v>76.234999999999999</v>
      </c>
      <c r="AC3326" s="52">
        <f t="shared" si="583"/>
        <v>0.11784559536576603</v>
      </c>
    </row>
    <row r="3327" spans="27:29">
      <c r="AA3327" s="50">
        <v>347.8</v>
      </c>
      <c r="AB3327" s="51">
        <v>76.180999999999997</v>
      </c>
      <c r="AC3327" s="52">
        <f t="shared" si="583"/>
        <v>0.11815333081354097</v>
      </c>
    </row>
    <row r="3328" spans="27:29">
      <c r="AA3328" s="50">
        <v>347.7</v>
      </c>
      <c r="AB3328" s="51">
        <v>76.227999999999994</v>
      </c>
      <c r="AC3328" s="52">
        <f t="shared" si="583"/>
        <v>0.11788547469879056</v>
      </c>
    </row>
    <row r="3329" spans="27:29">
      <c r="AA3329" s="50">
        <v>347.6</v>
      </c>
      <c r="AB3329" s="51">
        <v>76.290999999999997</v>
      </c>
      <c r="AC3329" s="52">
        <f t="shared" si="583"/>
        <v>0.11752669246292481</v>
      </c>
    </row>
    <row r="3330" spans="27:29">
      <c r="AA3330" s="50">
        <v>347.5</v>
      </c>
      <c r="AB3330" s="51">
        <v>76.387</v>
      </c>
      <c r="AC3330" s="52">
        <f t="shared" si="583"/>
        <v>0.11698054598789683</v>
      </c>
    </row>
    <row r="3331" spans="27:29">
      <c r="AA3331" s="50">
        <v>347.4</v>
      </c>
      <c r="AB3331" s="51">
        <v>76.484999999999999</v>
      </c>
      <c r="AC3331" s="52">
        <f t="shared" si="583"/>
        <v>0.11642372897684516</v>
      </c>
    </row>
    <row r="3332" spans="27:29">
      <c r="AA3332" s="50">
        <v>347.3</v>
      </c>
      <c r="AB3332" s="51">
        <v>76.718000000000004</v>
      </c>
      <c r="AC3332" s="52">
        <f t="shared" si="583"/>
        <v>0.11510272753037437</v>
      </c>
    </row>
    <row r="3333" spans="27:29">
      <c r="AA3333" s="50">
        <v>347.2</v>
      </c>
      <c r="AB3333" s="51">
        <v>77.039000000000001</v>
      </c>
      <c r="AC3333" s="52">
        <f t="shared" si="583"/>
        <v>0.11328936317973888</v>
      </c>
    </row>
    <row r="3334" spans="27:29">
      <c r="AA3334" s="50">
        <v>347.1</v>
      </c>
      <c r="AB3334" s="51">
        <v>77.322999999999993</v>
      </c>
      <c r="AC3334" s="52">
        <f t="shared" si="583"/>
        <v>0.11169130443434649</v>
      </c>
    </row>
    <row r="3335" spans="27:29">
      <c r="AA3335" s="50">
        <v>347</v>
      </c>
      <c r="AB3335" s="51">
        <v>77.483000000000004</v>
      </c>
      <c r="AC3335" s="52">
        <f t="shared" si="583"/>
        <v>0.11079357253962333</v>
      </c>
    </row>
    <row r="3336" spans="27:29">
      <c r="AA3336" s="50">
        <v>346.9</v>
      </c>
      <c r="AB3336" s="51">
        <v>77.682000000000002</v>
      </c>
      <c r="AC3336" s="52">
        <f t="shared" si="583"/>
        <v>0.10967960161469661</v>
      </c>
    </row>
    <row r="3337" spans="27:29">
      <c r="AA3337" s="50">
        <v>346.8</v>
      </c>
      <c r="AB3337" s="51">
        <v>77.849000000000004</v>
      </c>
      <c r="AC3337" s="52">
        <f t="shared" si="583"/>
        <v>0.1087469617377521</v>
      </c>
    </row>
    <row r="3338" spans="27:29">
      <c r="AA3338" s="50">
        <v>346.7</v>
      </c>
      <c r="AB3338" s="51">
        <v>78.19</v>
      </c>
      <c r="AC3338" s="52">
        <f t="shared" ref="AC3338:AC3401" si="584">-LOG(AB3338/100)</f>
        <v>0.10684878687013415</v>
      </c>
    </row>
    <row r="3339" spans="27:29">
      <c r="AA3339" s="50">
        <v>346.6</v>
      </c>
      <c r="AB3339" s="51">
        <v>78.537999999999997</v>
      </c>
      <c r="AC3339" s="52">
        <f t="shared" si="584"/>
        <v>0.10492016239871985</v>
      </c>
    </row>
    <row r="3340" spans="27:29">
      <c r="AA3340" s="50">
        <v>346.5</v>
      </c>
      <c r="AB3340" s="51">
        <v>78.680000000000007</v>
      </c>
      <c r="AC3340" s="52">
        <f t="shared" si="584"/>
        <v>0.10413564875270086</v>
      </c>
    </row>
    <row r="3341" spans="27:29">
      <c r="AA3341" s="50">
        <v>346.4</v>
      </c>
      <c r="AB3341" s="51">
        <v>78.846000000000004</v>
      </c>
      <c r="AC3341" s="52">
        <f t="shared" si="584"/>
        <v>0.10322033431975751</v>
      </c>
    </row>
    <row r="3342" spans="27:29">
      <c r="AA3342" s="50">
        <v>346.3</v>
      </c>
      <c r="AB3342" s="51">
        <v>78.893000000000001</v>
      </c>
      <c r="AC3342" s="52">
        <f t="shared" si="584"/>
        <v>0.10296152906229411</v>
      </c>
    </row>
    <row r="3343" spans="27:29">
      <c r="AA3343" s="50">
        <v>346.2</v>
      </c>
      <c r="AB3343" s="51">
        <v>79.103999999999999</v>
      </c>
      <c r="AC3343" s="52">
        <f t="shared" si="584"/>
        <v>0.10180155526331582</v>
      </c>
    </row>
    <row r="3344" spans="27:29">
      <c r="AA3344" s="50">
        <v>346.1</v>
      </c>
      <c r="AB3344" s="51">
        <v>79.372</v>
      </c>
      <c r="AC3344" s="52">
        <f t="shared" si="584"/>
        <v>0.10033267628979785</v>
      </c>
    </row>
    <row r="3345" spans="27:29">
      <c r="AA3345" s="50">
        <v>346</v>
      </c>
      <c r="AB3345" s="51">
        <v>79.353999999999999</v>
      </c>
      <c r="AC3345" s="52">
        <f t="shared" si="584"/>
        <v>0.10043117685943063</v>
      </c>
    </row>
    <row r="3346" spans="27:29">
      <c r="AA3346" s="50">
        <v>345.9</v>
      </c>
      <c r="AB3346" s="51">
        <v>79.498000000000005</v>
      </c>
      <c r="AC3346" s="52">
        <f t="shared" si="584"/>
        <v>9.9643797128305012E-2</v>
      </c>
    </row>
    <row r="3347" spans="27:29">
      <c r="AA3347" s="50">
        <v>345.8</v>
      </c>
      <c r="AB3347" s="51">
        <v>79.456000000000003</v>
      </c>
      <c r="AC3347" s="52">
        <f t="shared" si="584"/>
        <v>9.9873302125529695E-2</v>
      </c>
    </row>
    <row r="3348" spans="27:29">
      <c r="AA3348" s="50">
        <v>345.7</v>
      </c>
      <c r="AB3348" s="51">
        <v>79.427999999999997</v>
      </c>
      <c r="AC3348" s="52">
        <f t="shared" si="584"/>
        <v>0.10002637286417146</v>
      </c>
    </row>
    <row r="3349" spans="27:29">
      <c r="AA3349" s="50">
        <v>345.6</v>
      </c>
      <c r="AB3349" s="51">
        <v>79.364999999999995</v>
      </c>
      <c r="AC3349" s="52">
        <f t="shared" si="584"/>
        <v>0.10037097941226197</v>
      </c>
    </row>
    <row r="3350" spans="27:29">
      <c r="AA3350" s="50">
        <v>345.5</v>
      </c>
      <c r="AB3350" s="51">
        <v>79.295000000000002</v>
      </c>
      <c r="AC3350" s="52">
        <f t="shared" si="584"/>
        <v>0.10075419655213022</v>
      </c>
    </row>
    <row r="3351" spans="27:29">
      <c r="AA3351" s="50">
        <v>345.4</v>
      </c>
      <c r="AB3351" s="51">
        <v>79.093000000000004</v>
      </c>
      <c r="AC3351" s="52">
        <f t="shared" si="584"/>
        <v>0.10186195134299662</v>
      </c>
    </row>
    <row r="3352" spans="27:29">
      <c r="AA3352" s="50">
        <v>345.3</v>
      </c>
      <c r="AB3352" s="51">
        <v>79.173000000000002</v>
      </c>
      <c r="AC3352" s="52">
        <f t="shared" si="584"/>
        <v>0.10142289858989301</v>
      </c>
    </row>
    <row r="3353" spans="27:29">
      <c r="AA3353" s="50">
        <v>345.2</v>
      </c>
      <c r="AB3353" s="51">
        <v>78.986000000000004</v>
      </c>
      <c r="AC3353" s="52">
        <f t="shared" si="584"/>
        <v>0.10244987910899346</v>
      </c>
    </row>
    <row r="3354" spans="27:29">
      <c r="AA3354" s="50">
        <v>345.1</v>
      </c>
      <c r="AB3354" s="51">
        <v>78.887</v>
      </c>
      <c r="AC3354" s="52">
        <f t="shared" si="584"/>
        <v>0.1029945594450128</v>
      </c>
    </row>
    <row r="3355" spans="27:29">
      <c r="AA3355" s="50">
        <v>345</v>
      </c>
      <c r="AB3355" s="51">
        <v>78.757000000000005</v>
      </c>
      <c r="AC3355" s="52">
        <f t="shared" si="584"/>
        <v>0.10371083530004449</v>
      </c>
    </row>
    <row r="3356" spans="27:29">
      <c r="AA3356" s="50">
        <v>344.9</v>
      </c>
      <c r="AB3356" s="51">
        <v>78.653999999999996</v>
      </c>
      <c r="AC3356" s="52">
        <f t="shared" si="584"/>
        <v>0.1042791861525289</v>
      </c>
    </row>
    <row r="3357" spans="27:29">
      <c r="AA3357" s="50">
        <v>344.8</v>
      </c>
      <c r="AB3357" s="51">
        <v>78.466999999999999</v>
      </c>
      <c r="AC3357" s="52">
        <f t="shared" si="584"/>
        <v>0.10531295129483177</v>
      </c>
    </row>
    <row r="3358" spans="27:29">
      <c r="AA3358" s="50">
        <v>344.7</v>
      </c>
      <c r="AB3358" s="51">
        <v>78.506</v>
      </c>
      <c r="AC3358" s="52">
        <f t="shared" si="584"/>
        <v>0.10509715004056855</v>
      </c>
    </row>
    <row r="3359" spans="27:29">
      <c r="AA3359" s="50">
        <v>344.6</v>
      </c>
      <c r="AB3359" s="51">
        <v>78.453999999999994</v>
      </c>
      <c r="AC3359" s="52">
        <f t="shared" si="584"/>
        <v>0.10538490888212297</v>
      </c>
    </row>
    <row r="3360" spans="27:29">
      <c r="AA3360" s="50">
        <v>344.5</v>
      </c>
      <c r="AB3360" s="51">
        <v>78.495000000000005</v>
      </c>
      <c r="AC3360" s="52">
        <f t="shared" si="584"/>
        <v>0.10515800620465349</v>
      </c>
    </row>
    <row r="3361" spans="27:29">
      <c r="AA3361" s="50">
        <v>344.4</v>
      </c>
      <c r="AB3361" s="51">
        <v>78.510999999999996</v>
      </c>
      <c r="AC3361" s="52">
        <f t="shared" si="584"/>
        <v>0.10506949096657975</v>
      </c>
    </row>
    <row r="3362" spans="27:29">
      <c r="AA3362" s="50">
        <v>344.3</v>
      </c>
      <c r="AB3362" s="51">
        <v>78.525999999999996</v>
      </c>
      <c r="AC3362" s="52">
        <f t="shared" si="584"/>
        <v>0.10498652431224528</v>
      </c>
    </row>
    <row r="3363" spans="27:29">
      <c r="AA3363" s="50">
        <v>344.2</v>
      </c>
      <c r="AB3363" s="51">
        <v>78.629000000000005</v>
      </c>
      <c r="AC3363" s="52">
        <f t="shared" si="584"/>
        <v>0.10441724763582992</v>
      </c>
    </row>
    <row r="3364" spans="27:29">
      <c r="AA3364" s="50">
        <v>344.1</v>
      </c>
      <c r="AB3364" s="51">
        <v>78.724000000000004</v>
      </c>
      <c r="AC3364" s="52">
        <f t="shared" si="584"/>
        <v>0.10389284732832196</v>
      </c>
    </row>
    <row r="3365" spans="27:29">
      <c r="AA3365" s="50">
        <v>344</v>
      </c>
      <c r="AB3365" s="51">
        <v>78.903999999999996</v>
      </c>
      <c r="AC3365" s="52">
        <f t="shared" si="584"/>
        <v>0.10290097988444318</v>
      </c>
    </row>
    <row r="3366" spans="27:29">
      <c r="AA3366" s="50">
        <v>343.9</v>
      </c>
      <c r="AB3366" s="51">
        <v>79.191000000000003</v>
      </c>
      <c r="AC3366" s="52">
        <f t="shared" si="584"/>
        <v>0.10132417286046054</v>
      </c>
    </row>
    <row r="3367" spans="27:29">
      <c r="AA3367" s="50">
        <v>343.8</v>
      </c>
      <c r="AB3367" s="51">
        <v>79.411000000000001</v>
      </c>
      <c r="AC3367" s="52">
        <f t="shared" si="584"/>
        <v>0.10011933499841488</v>
      </c>
    </row>
    <row r="3368" spans="27:29">
      <c r="AA3368" s="50">
        <v>343.7</v>
      </c>
      <c r="AB3368" s="51">
        <v>79.546999999999997</v>
      </c>
      <c r="AC3368" s="52">
        <f t="shared" si="584"/>
        <v>9.9376194496514469E-2</v>
      </c>
    </row>
    <row r="3369" spans="27:29">
      <c r="AA3369" s="50">
        <v>343.6</v>
      </c>
      <c r="AB3369" s="51">
        <v>79.700999999999993</v>
      </c>
      <c r="AC3369" s="52">
        <f t="shared" si="584"/>
        <v>9.8536229522866781E-2</v>
      </c>
    </row>
    <row r="3370" spans="27:29">
      <c r="AA3370" s="50">
        <v>343.5</v>
      </c>
      <c r="AB3370" s="51">
        <v>79.805999999999997</v>
      </c>
      <c r="AC3370" s="52">
        <f t="shared" si="584"/>
        <v>9.7964456156348675E-2</v>
      </c>
    </row>
    <row r="3371" spans="27:29">
      <c r="AA3371" s="50">
        <v>343.4</v>
      </c>
      <c r="AB3371" s="51">
        <v>80.180999999999997</v>
      </c>
      <c r="AC3371" s="52">
        <f t="shared" si="584"/>
        <v>9.5928531625361482E-2</v>
      </c>
    </row>
    <row r="3372" spans="27:29">
      <c r="AA3372" s="50">
        <v>343.3</v>
      </c>
      <c r="AB3372" s="51">
        <v>80.293000000000006</v>
      </c>
      <c r="AC3372" s="52">
        <f t="shared" si="584"/>
        <v>9.5322315168228283E-2</v>
      </c>
    </row>
    <row r="3373" spans="27:29">
      <c r="AA3373" s="50">
        <v>343.2</v>
      </c>
      <c r="AB3373" s="51">
        <v>80.451999999999998</v>
      </c>
      <c r="AC3373" s="52">
        <f t="shared" si="584"/>
        <v>9.4463155068154198E-2</v>
      </c>
    </row>
    <row r="3374" spans="27:29">
      <c r="AA3374" s="50">
        <v>343.1</v>
      </c>
      <c r="AB3374" s="51">
        <v>80.539000000000001</v>
      </c>
      <c r="AC3374" s="52">
        <f t="shared" si="584"/>
        <v>9.3993767045176077E-2</v>
      </c>
    </row>
    <row r="3375" spans="27:29">
      <c r="AA3375" s="50">
        <v>343</v>
      </c>
      <c r="AB3375" s="51">
        <v>80.613</v>
      </c>
      <c r="AC3375" s="52">
        <f t="shared" si="584"/>
        <v>9.3594916346212531E-2</v>
      </c>
    </row>
    <row r="3376" spans="27:29">
      <c r="AA3376" s="50">
        <v>342.9</v>
      </c>
      <c r="AB3376" s="51">
        <v>80.638999999999996</v>
      </c>
      <c r="AC3376" s="52">
        <f t="shared" si="584"/>
        <v>9.3454866528196831E-2</v>
      </c>
    </row>
    <row r="3377" spans="27:29">
      <c r="AA3377" s="50">
        <v>342.8</v>
      </c>
      <c r="AB3377" s="51">
        <v>80.819999999999993</v>
      </c>
      <c r="AC3377" s="52">
        <f t="shared" si="584"/>
        <v>9.2481153893370804E-2</v>
      </c>
    </row>
    <row r="3378" spans="27:29">
      <c r="AA3378" s="50">
        <v>342.7</v>
      </c>
      <c r="AB3378" s="51">
        <v>81.069999999999993</v>
      </c>
      <c r="AC3378" s="52">
        <f t="shared" si="584"/>
        <v>9.1139826982723493E-2</v>
      </c>
    </row>
    <row r="3379" spans="27:29">
      <c r="AA3379" s="50">
        <v>342.6</v>
      </c>
      <c r="AB3379" s="51">
        <v>81.186999999999998</v>
      </c>
      <c r="AC3379" s="52">
        <f t="shared" si="584"/>
        <v>9.0513506229974533E-2</v>
      </c>
    </row>
    <row r="3380" spans="27:29">
      <c r="AA3380" s="50">
        <v>342.5</v>
      </c>
      <c r="AB3380" s="51">
        <v>81.183999999999997</v>
      </c>
      <c r="AC3380" s="52">
        <f t="shared" si="584"/>
        <v>9.0529554458363304E-2</v>
      </c>
    </row>
    <row r="3381" spans="27:29">
      <c r="AA3381" s="50">
        <v>342.4</v>
      </c>
      <c r="AB3381" s="51">
        <v>81.254000000000005</v>
      </c>
      <c r="AC3381" s="52">
        <f t="shared" si="584"/>
        <v>9.0155250223946895E-2</v>
      </c>
    </row>
    <row r="3382" spans="27:29">
      <c r="AA3382" s="50">
        <v>342.3</v>
      </c>
      <c r="AB3382" s="51">
        <v>81.116</v>
      </c>
      <c r="AC3382" s="52">
        <f t="shared" si="584"/>
        <v>9.0893473454018978E-2</v>
      </c>
    </row>
    <row r="3383" spans="27:29">
      <c r="AA3383" s="50">
        <v>342.2</v>
      </c>
      <c r="AB3383" s="51">
        <v>81.16</v>
      </c>
      <c r="AC3383" s="52">
        <f t="shared" si="584"/>
        <v>9.0657961638691623E-2</v>
      </c>
    </row>
    <row r="3384" spans="27:29">
      <c r="AA3384" s="50">
        <v>342.1</v>
      </c>
      <c r="AB3384" s="51">
        <v>81.212999999999994</v>
      </c>
      <c r="AC3384" s="52">
        <f t="shared" si="584"/>
        <v>9.0374446419310056E-2</v>
      </c>
    </row>
    <row r="3385" spans="27:29">
      <c r="AA3385" s="50">
        <v>342</v>
      </c>
      <c r="AB3385" s="51">
        <v>81.069000000000003</v>
      </c>
      <c r="AC3385" s="52">
        <f t="shared" si="584"/>
        <v>9.114518404650096E-2</v>
      </c>
    </row>
    <row r="3386" spans="27:29">
      <c r="AA3386" s="50">
        <v>341.9</v>
      </c>
      <c r="AB3386" s="51">
        <v>81.007999999999996</v>
      </c>
      <c r="AC3386" s="52">
        <f t="shared" si="584"/>
        <v>9.1472089957234326E-2</v>
      </c>
    </row>
    <row r="3387" spans="27:29">
      <c r="AA3387" s="50">
        <v>341.8</v>
      </c>
      <c r="AB3387" s="51">
        <v>81.021000000000001</v>
      </c>
      <c r="AC3387" s="52">
        <f t="shared" si="584"/>
        <v>9.1402400848780166E-2</v>
      </c>
    </row>
    <row r="3388" spans="27:29">
      <c r="AA3388" s="50">
        <v>341.7</v>
      </c>
      <c r="AB3388" s="51">
        <v>81.150999999999996</v>
      </c>
      <c r="AC3388" s="52">
        <f t="shared" si="584"/>
        <v>9.0706124121100545E-2</v>
      </c>
    </row>
    <row r="3389" spans="27:29">
      <c r="AA3389" s="50">
        <v>341.6</v>
      </c>
      <c r="AB3389" s="51">
        <v>81.168999999999997</v>
      </c>
      <c r="AC3389" s="52">
        <f t="shared" si="584"/>
        <v>9.0609804496823751E-2</v>
      </c>
    </row>
    <row r="3390" spans="27:29">
      <c r="AA3390" s="50">
        <v>341.5</v>
      </c>
      <c r="AB3390" s="51">
        <v>81.165000000000006</v>
      </c>
      <c r="AC3390" s="52">
        <f t="shared" si="584"/>
        <v>9.0631207011736964E-2</v>
      </c>
    </row>
    <row r="3391" spans="27:29">
      <c r="AA3391" s="50">
        <v>341.4</v>
      </c>
      <c r="AB3391" s="51">
        <v>81.173000000000002</v>
      </c>
      <c r="AC3391" s="52">
        <f t="shared" si="584"/>
        <v>9.0588403036598222E-2</v>
      </c>
    </row>
    <row r="3392" spans="27:29">
      <c r="AA3392" s="50">
        <v>341.3</v>
      </c>
      <c r="AB3392" s="51">
        <v>81.296000000000006</v>
      </c>
      <c r="AC3392" s="52">
        <f t="shared" si="584"/>
        <v>8.9930822433779534E-2</v>
      </c>
    </row>
    <row r="3393" spans="27:29">
      <c r="AA3393" s="50">
        <v>341.2</v>
      </c>
      <c r="AB3393" s="51">
        <v>81.180000000000007</v>
      </c>
      <c r="AC3393" s="52">
        <f t="shared" si="584"/>
        <v>9.0550953018733352E-2</v>
      </c>
    </row>
    <row r="3394" spans="27:29">
      <c r="AA3394" s="50">
        <v>341.1</v>
      </c>
      <c r="AB3394" s="51">
        <v>81.281999999999996</v>
      </c>
      <c r="AC3394" s="52">
        <f t="shared" si="584"/>
        <v>9.0005618811661858E-2</v>
      </c>
    </row>
    <row r="3395" spans="27:29">
      <c r="AA3395" s="50">
        <v>341</v>
      </c>
      <c r="AB3395" s="51">
        <v>81.248000000000005</v>
      </c>
      <c r="AC3395" s="52">
        <f t="shared" si="584"/>
        <v>9.0187320806371749E-2</v>
      </c>
    </row>
    <row r="3396" spans="27:29">
      <c r="AA3396" s="50">
        <v>340.9</v>
      </c>
      <c r="AB3396" s="51">
        <v>81.081000000000003</v>
      </c>
      <c r="AC3396" s="52">
        <f t="shared" si="584"/>
        <v>9.1080903642031599E-2</v>
      </c>
    </row>
    <row r="3397" spans="27:29">
      <c r="AA3397" s="50">
        <v>340.8</v>
      </c>
      <c r="AB3397" s="51">
        <v>81.066999999999993</v>
      </c>
      <c r="AC3397" s="52">
        <f t="shared" si="584"/>
        <v>9.1155898372299746E-2</v>
      </c>
    </row>
    <row r="3398" spans="27:29">
      <c r="AA3398" s="50">
        <v>340.7</v>
      </c>
      <c r="AB3398" s="51">
        <v>81.319999999999993</v>
      </c>
      <c r="AC3398" s="52">
        <f t="shared" si="584"/>
        <v>8.9802630033999048E-2</v>
      </c>
    </row>
    <row r="3399" spans="27:29">
      <c r="AA3399" s="50">
        <v>340.6</v>
      </c>
      <c r="AB3399" s="51">
        <v>81.42</v>
      </c>
      <c r="AC3399" s="52">
        <f t="shared" si="584"/>
        <v>8.9268901956619282E-2</v>
      </c>
    </row>
    <row r="3400" spans="27:29">
      <c r="AA3400" s="50">
        <v>340.5</v>
      </c>
      <c r="AB3400" s="51">
        <v>81.382999999999996</v>
      </c>
      <c r="AC3400" s="52">
        <f t="shared" si="584"/>
        <v>8.9466304905054903E-2</v>
      </c>
    </row>
    <row r="3401" spans="27:29">
      <c r="AA3401" s="50">
        <v>340.4</v>
      </c>
      <c r="AB3401" s="51">
        <v>81.495000000000005</v>
      </c>
      <c r="AC3401" s="52">
        <f t="shared" si="584"/>
        <v>8.8869035910597874E-2</v>
      </c>
    </row>
    <row r="3402" spans="27:29">
      <c r="AA3402" s="50">
        <v>340.3</v>
      </c>
      <c r="AB3402" s="51">
        <v>81.442999999999998</v>
      </c>
      <c r="AC3402" s="52">
        <f t="shared" ref="AC3402:AC3465" si="585">-LOG(AB3402/100)</f>
        <v>8.9146237224296071E-2</v>
      </c>
    </row>
    <row r="3403" spans="27:29">
      <c r="AA3403" s="50">
        <v>340.2</v>
      </c>
      <c r="AB3403" s="51">
        <v>81.603999999999999</v>
      </c>
      <c r="AC3403" s="52">
        <f t="shared" si="585"/>
        <v>8.8288552822718344E-2</v>
      </c>
    </row>
    <row r="3404" spans="27:29">
      <c r="AA3404" s="50">
        <v>340.1</v>
      </c>
      <c r="AB3404" s="51">
        <v>81.888000000000005</v>
      </c>
      <c r="AC3404" s="52">
        <f t="shared" si="585"/>
        <v>8.6779735792908527E-2</v>
      </c>
    </row>
    <row r="3405" spans="27:29">
      <c r="AA3405" s="50">
        <v>340</v>
      </c>
      <c r="AB3405" s="51">
        <v>81.998000000000005</v>
      </c>
      <c r="AC3405" s="52">
        <f t="shared" si="585"/>
        <v>8.6196740293801907E-2</v>
      </c>
    </row>
    <row r="3406" spans="27:29">
      <c r="AA3406" s="50">
        <v>339.9</v>
      </c>
      <c r="AB3406" s="51">
        <v>81.975999999999999</v>
      </c>
      <c r="AC3406" s="52">
        <f t="shared" si="585"/>
        <v>8.6313276801531197E-2</v>
      </c>
    </row>
    <row r="3407" spans="27:29">
      <c r="AA3407" s="50">
        <v>339.8</v>
      </c>
      <c r="AB3407" s="51">
        <v>82.090999999999994</v>
      </c>
      <c r="AC3407" s="52">
        <f t="shared" si="585"/>
        <v>8.5704453898715491E-2</v>
      </c>
    </row>
    <row r="3408" spans="27:29">
      <c r="AA3408" s="50">
        <v>339.7</v>
      </c>
      <c r="AB3408" s="51">
        <v>82.100999999999999</v>
      </c>
      <c r="AC3408" s="52">
        <f t="shared" si="585"/>
        <v>8.5651553089608992E-2</v>
      </c>
    </row>
    <row r="3409" spans="27:29">
      <c r="AA3409" s="50">
        <v>339.6</v>
      </c>
      <c r="AB3409" s="51">
        <v>82.200999999999993</v>
      </c>
      <c r="AC3409" s="52">
        <f t="shared" si="585"/>
        <v>8.5122899104229086E-2</v>
      </c>
    </row>
    <row r="3410" spans="27:29">
      <c r="AA3410" s="50">
        <v>339.5</v>
      </c>
      <c r="AB3410" s="51">
        <v>82.31</v>
      </c>
      <c r="AC3410" s="52">
        <f t="shared" si="585"/>
        <v>8.4547398311521207E-2</v>
      </c>
    </row>
    <row r="3411" spans="27:29">
      <c r="AA3411" s="50">
        <v>339.4</v>
      </c>
      <c r="AB3411" s="51">
        <v>82.388999999999996</v>
      </c>
      <c r="AC3411" s="52">
        <f t="shared" si="585"/>
        <v>8.4130768378108053E-2</v>
      </c>
    </row>
    <row r="3412" spans="27:29">
      <c r="AA3412" s="50">
        <v>339.3</v>
      </c>
      <c r="AB3412" s="51">
        <v>82.454999999999998</v>
      </c>
      <c r="AC3412" s="52">
        <f t="shared" si="585"/>
        <v>8.3783003978588191E-2</v>
      </c>
    </row>
    <row r="3413" spans="27:29">
      <c r="AA3413" s="50">
        <v>339.2</v>
      </c>
      <c r="AB3413" s="51">
        <v>82.375</v>
      </c>
      <c r="AC3413" s="52">
        <f t="shared" si="585"/>
        <v>8.4204572397933733E-2</v>
      </c>
    </row>
    <row r="3414" spans="27:29">
      <c r="AA3414" s="50">
        <v>339.1</v>
      </c>
      <c r="AB3414" s="51">
        <v>82.474000000000004</v>
      </c>
      <c r="AC3414" s="52">
        <f t="shared" si="585"/>
        <v>8.3682941585768666E-2</v>
      </c>
    </row>
    <row r="3415" spans="27:29">
      <c r="AA3415" s="50">
        <v>339</v>
      </c>
      <c r="AB3415" s="51">
        <v>82.569000000000003</v>
      </c>
      <c r="AC3415" s="52">
        <f t="shared" si="585"/>
        <v>8.3182975148689872E-2</v>
      </c>
    </row>
    <row r="3416" spans="27:29">
      <c r="AA3416" s="50">
        <v>338.9</v>
      </c>
      <c r="AB3416" s="51">
        <v>82.512</v>
      </c>
      <c r="AC3416" s="52">
        <f t="shared" si="585"/>
        <v>8.348288593736039E-2</v>
      </c>
    </row>
    <row r="3417" spans="27:29">
      <c r="AA3417" s="50">
        <v>338.8</v>
      </c>
      <c r="AB3417" s="51">
        <v>82.304000000000002</v>
      </c>
      <c r="AC3417" s="52">
        <f t="shared" si="585"/>
        <v>8.4579057427909568E-2</v>
      </c>
    </row>
    <row r="3418" spans="27:29">
      <c r="AA3418" s="50">
        <v>338.7</v>
      </c>
      <c r="AB3418" s="51">
        <v>82.117999999999995</v>
      </c>
      <c r="AC3418" s="52">
        <f t="shared" si="585"/>
        <v>8.5561636499948565E-2</v>
      </c>
    </row>
    <row r="3419" spans="27:29">
      <c r="AA3419" s="50">
        <v>338.6</v>
      </c>
      <c r="AB3419" s="51">
        <v>82.263999999999996</v>
      </c>
      <c r="AC3419" s="52">
        <f t="shared" si="585"/>
        <v>8.4790177203543135E-2</v>
      </c>
    </row>
    <row r="3420" spans="27:29">
      <c r="AA3420" s="50">
        <v>338.5</v>
      </c>
      <c r="AB3420" s="51">
        <v>82.222999999999999</v>
      </c>
      <c r="AC3420" s="52">
        <f t="shared" si="585"/>
        <v>8.5006681536734158E-2</v>
      </c>
    </row>
    <row r="3421" spans="27:29">
      <c r="AA3421" s="50">
        <v>338.4</v>
      </c>
      <c r="AB3421" s="51">
        <v>82.207999999999998</v>
      </c>
      <c r="AC3421" s="52">
        <f t="shared" si="585"/>
        <v>8.5085917413747839E-2</v>
      </c>
    </row>
    <row r="3422" spans="27:29">
      <c r="AA3422" s="50">
        <v>338.3</v>
      </c>
      <c r="AB3422" s="51">
        <v>82.122</v>
      </c>
      <c r="AC3422" s="52">
        <f t="shared" si="585"/>
        <v>8.5540482360543318E-2</v>
      </c>
    </row>
    <row r="3423" spans="27:29">
      <c r="AA3423" s="50">
        <v>338.2</v>
      </c>
      <c r="AB3423" s="51">
        <v>81.95</v>
      </c>
      <c r="AC3423" s="52">
        <f t="shared" si="585"/>
        <v>8.6451042093482117E-2</v>
      </c>
    </row>
    <row r="3424" spans="27:29">
      <c r="AA3424" s="50">
        <v>338.1</v>
      </c>
      <c r="AB3424" s="51">
        <v>81.777000000000001</v>
      </c>
      <c r="AC3424" s="52">
        <f t="shared" si="585"/>
        <v>8.7368825639638825E-2</v>
      </c>
    </row>
    <row r="3425" spans="27:29">
      <c r="AA3425" s="50">
        <v>338</v>
      </c>
      <c r="AB3425" s="51">
        <v>81.716999999999999</v>
      </c>
      <c r="AC3425" s="52">
        <f t="shared" si="585"/>
        <v>8.7687585595160156E-2</v>
      </c>
    </row>
    <row r="3426" spans="27:29">
      <c r="AA3426" s="50">
        <v>337.9</v>
      </c>
      <c r="AB3426" s="51">
        <v>81.635999999999996</v>
      </c>
      <c r="AC3426" s="52">
        <f t="shared" si="585"/>
        <v>8.8118282991807781E-2</v>
      </c>
    </row>
    <row r="3427" spans="27:29">
      <c r="AA3427" s="50">
        <v>337.8</v>
      </c>
      <c r="AB3427" s="51">
        <v>81.539000000000001</v>
      </c>
      <c r="AC3427" s="52">
        <f t="shared" si="585"/>
        <v>8.863461906910855E-2</v>
      </c>
    </row>
    <row r="3428" spans="27:29">
      <c r="AA3428" s="50">
        <v>337.7</v>
      </c>
      <c r="AB3428" s="51">
        <v>81.475999999999999</v>
      </c>
      <c r="AC3428" s="52">
        <f t="shared" si="585"/>
        <v>8.8970300493788124E-2</v>
      </c>
    </row>
    <row r="3429" spans="27:29">
      <c r="AA3429" s="50">
        <v>337.6</v>
      </c>
      <c r="AB3429" s="51">
        <v>81.263000000000005</v>
      </c>
      <c r="AC3429" s="52">
        <f t="shared" si="585"/>
        <v>9.0107148790359928E-2</v>
      </c>
    </row>
    <row r="3430" spans="27:29">
      <c r="AA3430" s="50">
        <v>337.5</v>
      </c>
      <c r="AB3430" s="51">
        <v>81.078999999999994</v>
      </c>
      <c r="AC3430" s="52">
        <f t="shared" si="585"/>
        <v>9.1091616382089027E-2</v>
      </c>
    </row>
    <row r="3431" spans="27:29">
      <c r="AA3431" s="50">
        <v>337.4</v>
      </c>
      <c r="AB3431" s="51">
        <v>80.936000000000007</v>
      </c>
      <c r="AC3431" s="52">
        <f t="shared" si="585"/>
        <v>9.1858263014060498E-2</v>
      </c>
    </row>
    <row r="3432" spans="27:29">
      <c r="AA3432" s="50">
        <v>337.3</v>
      </c>
      <c r="AB3432" s="51">
        <v>80.924000000000007</v>
      </c>
      <c r="AC3432" s="52">
        <f t="shared" si="585"/>
        <v>9.1922658587919245E-2</v>
      </c>
    </row>
    <row r="3433" spans="27:29">
      <c r="AA3433" s="50">
        <v>337.2</v>
      </c>
      <c r="AB3433" s="51">
        <v>80.994</v>
      </c>
      <c r="AC3433" s="52">
        <f t="shared" si="585"/>
        <v>9.1547152274511615E-2</v>
      </c>
    </row>
    <row r="3434" spans="27:29">
      <c r="AA3434" s="50">
        <v>337.1</v>
      </c>
      <c r="AB3434" s="51">
        <v>81.022000000000006</v>
      </c>
      <c r="AC3434" s="52">
        <f t="shared" si="585"/>
        <v>9.1397040611288741E-2</v>
      </c>
    </row>
    <row r="3435" spans="27:29">
      <c r="AA3435" s="50">
        <v>337</v>
      </c>
      <c r="AB3435" s="51">
        <v>80.988</v>
      </c>
      <c r="AC3435" s="52">
        <f t="shared" si="585"/>
        <v>9.1579325810986156E-2</v>
      </c>
    </row>
    <row r="3436" spans="27:29">
      <c r="AA3436" s="50">
        <v>336.9</v>
      </c>
      <c r="AB3436" s="51">
        <v>80.831000000000003</v>
      </c>
      <c r="AC3436" s="52">
        <f t="shared" si="585"/>
        <v>9.242204829788031E-2</v>
      </c>
    </row>
    <row r="3437" spans="27:29">
      <c r="AA3437" s="50">
        <v>336.8</v>
      </c>
      <c r="AB3437" s="51">
        <v>80.739999999999995</v>
      </c>
      <c r="AC3437" s="52">
        <f t="shared" si="585"/>
        <v>9.2911254925704484E-2</v>
      </c>
    </row>
    <row r="3438" spans="27:29">
      <c r="AA3438" s="50">
        <v>336.7</v>
      </c>
      <c r="AB3438" s="51">
        <v>80.605000000000004</v>
      </c>
      <c r="AC3438" s="52">
        <f t="shared" si="585"/>
        <v>9.3638017685493222E-2</v>
      </c>
    </row>
    <row r="3439" spans="27:29">
      <c r="AA3439" s="50">
        <v>336.6</v>
      </c>
      <c r="AB3439" s="51">
        <v>80.623000000000005</v>
      </c>
      <c r="AC3439" s="52">
        <f t="shared" si="585"/>
        <v>9.3541045686749383E-2</v>
      </c>
    </row>
    <row r="3440" spans="27:29">
      <c r="AA3440" s="50">
        <v>336.5</v>
      </c>
      <c r="AB3440" s="51">
        <v>80.372</v>
      </c>
      <c r="AC3440" s="52">
        <f t="shared" si="585"/>
        <v>9.4895224428672098E-2</v>
      </c>
    </row>
    <row r="3441" spans="27:29">
      <c r="AA3441" s="50">
        <v>336.4</v>
      </c>
      <c r="AB3441" s="51">
        <v>80.236999999999995</v>
      </c>
      <c r="AC3441" s="52">
        <f t="shared" si="585"/>
        <v>9.5625317622263381E-2</v>
      </c>
    </row>
    <row r="3442" spans="27:29">
      <c r="AA3442" s="50">
        <v>336.3</v>
      </c>
      <c r="AB3442" s="51">
        <v>80.113</v>
      </c>
      <c r="AC3442" s="52">
        <f t="shared" si="585"/>
        <v>9.6297004887504548E-2</v>
      </c>
    </row>
    <row r="3443" spans="27:29">
      <c r="AA3443" s="50">
        <v>336.2</v>
      </c>
      <c r="AB3443" s="51">
        <v>79.936999999999998</v>
      </c>
      <c r="AC3443" s="52">
        <f t="shared" si="585"/>
        <v>9.7252154648514874E-2</v>
      </c>
    </row>
    <row r="3444" spans="27:29">
      <c r="AA3444" s="50">
        <v>336.1</v>
      </c>
      <c r="AB3444" s="51">
        <v>79.95</v>
      </c>
      <c r="AC3444" s="52">
        <f t="shared" si="585"/>
        <v>9.7181531917746505E-2</v>
      </c>
    </row>
    <row r="3445" spans="27:29">
      <c r="AA3445" s="50">
        <v>336</v>
      </c>
      <c r="AB3445" s="51">
        <v>79.765000000000001</v>
      </c>
      <c r="AC3445" s="52">
        <f t="shared" si="585"/>
        <v>9.8187630469348808E-2</v>
      </c>
    </row>
    <row r="3446" spans="27:29">
      <c r="AA3446" s="50">
        <v>335.9</v>
      </c>
      <c r="AB3446" s="51">
        <v>79.653000000000006</v>
      </c>
      <c r="AC3446" s="52">
        <f t="shared" si="585"/>
        <v>9.8797862563290151E-2</v>
      </c>
    </row>
    <row r="3447" spans="27:29">
      <c r="AA3447" s="50">
        <v>335.8</v>
      </c>
      <c r="AB3447" s="51">
        <v>79.558000000000007</v>
      </c>
      <c r="AC3447" s="52">
        <f t="shared" si="585"/>
        <v>9.9316143092617049E-2</v>
      </c>
    </row>
    <row r="3448" spans="27:29">
      <c r="AA3448" s="50">
        <v>335.7</v>
      </c>
      <c r="AB3448" s="51">
        <v>79.206999999999994</v>
      </c>
      <c r="AC3448" s="52">
        <f t="shared" si="585"/>
        <v>0.10123643549339678</v>
      </c>
    </row>
    <row r="3449" spans="27:29">
      <c r="AA3449" s="50">
        <v>335.6</v>
      </c>
      <c r="AB3449" s="51">
        <v>78.888999999999996</v>
      </c>
      <c r="AC3449" s="52">
        <f t="shared" si="585"/>
        <v>0.10298354903831149</v>
      </c>
    </row>
    <row r="3450" spans="27:29">
      <c r="AA3450" s="50">
        <v>335.5</v>
      </c>
      <c r="AB3450" s="51">
        <v>78.325000000000003</v>
      </c>
      <c r="AC3450" s="52">
        <f t="shared" si="585"/>
        <v>0.10609959644625723</v>
      </c>
    </row>
    <row r="3451" spans="27:29">
      <c r="AA3451" s="50">
        <v>335.4</v>
      </c>
      <c r="AB3451" s="51">
        <v>77.956999999999994</v>
      </c>
      <c r="AC3451" s="52">
        <f t="shared" si="585"/>
        <v>0.10814488208025839</v>
      </c>
    </row>
    <row r="3452" spans="27:29">
      <c r="AA3452" s="50">
        <v>335.3</v>
      </c>
      <c r="AB3452" s="51">
        <v>77.47</v>
      </c>
      <c r="AC3452" s="52">
        <f t="shared" si="585"/>
        <v>0.11086644403327613</v>
      </c>
    </row>
    <row r="3453" spans="27:29">
      <c r="AA3453" s="50">
        <v>335.2</v>
      </c>
      <c r="AB3453" s="51">
        <v>76.947999999999993</v>
      </c>
      <c r="AC3453" s="52">
        <f t="shared" si="585"/>
        <v>0.11380266368502634</v>
      </c>
    </row>
    <row r="3454" spans="27:29">
      <c r="AA3454" s="50">
        <v>335.1</v>
      </c>
      <c r="AB3454" s="51">
        <v>76.387</v>
      </c>
      <c r="AC3454" s="52">
        <f t="shared" si="585"/>
        <v>0.11698054598789683</v>
      </c>
    </row>
    <row r="3455" spans="27:29">
      <c r="AA3455" s="50">
        <v>335</v>
      </c>
      <c r="AB3455" s="51">
        <v>75.572999999999993</v>
      </c>
      <c r="AC3455" s="52">
        <f t="shared" si="585"/>
        <v>0.12163333737485037</v>
      </c>
    </row>
    <row r="3456" spans="27:29">
      <c r="AA3456" s="50">
        <v>334.9</v>
      </c>
      <c r="AB3456" s="51">
        <v>74.778000000000006</v>
      </c>
      <c r="AC3456" s="52">
        <f t="shared" si="585"/>
        <v>0.12622615459473402</v>
      </c>
    </row>
    <row r="3457" spans="27:29">
      <c r="AA3457" s="50">
        <v>334.8</v>
      </c>
      <c r="AB3457" s="51">
        <v>73.92</v>
      </c>
      <c r="AC3457" s="52">
        <f t="shared" si="585"/>
        <v>0.13123804178794973</v>
      </c>
    </row>
    <row r="3458" spans="27:29">
      <c r="AA3458" s="50">
        <v>334.7</v>
      </c>
      <c r="AB3458" s="51">
        <v>72.894000000000005</v>
      </c>
      <c r="AC3458" s="52">
        <f t="shared" si="585"/>
        <v>0.13730821755487185</v>
      </c>
    </row>
    <row r="3459" spans="27:29">
      <c r="AA3459" s="50">
        <v>334.6</v>
      </c>
      <c r="AB3459" s="51">
        <v>71.936000000000007</v>
      </c>
      <c r="AC3459" s="52">
        <f t="shared" si="585"/>
        <v>0.14305371478307047</v>
      </c>
    </row>
    <row r="3460" spans="27:29">
      <c r="AA3460" s="50">
        <v>334.5</v>
      </c>
      <c r="AB3460" s="51">
        <v>71.057000000000002</v>
      </c>
      <c r="AC3460" s="52">
        <f t="shared" si="585"/>
        <v>0.14839313221045314</v>
      </c>
    </row>
    <row r="3461" spans="27:29">
      <c r="AA3461" s="50">
        <v>334.4</v>
      </c>
      <c r="AB3461" s="51">
        <v>70.007000000000005</v>
      </c>
      <c r="AC3461" s="52">
        <f t="shared" si="585"/>
        <v>0.15485853270888045</v>
      </c>
    </row>
    <row r="3462" spans="27:29">
      <c r="AA3462" s="50">
        <v>334.3</v>
      </c>
      <c r="AB3462" s="51">
        <v>69.012</v>
      </c>
      <c r="AC3462" s="52">
        <f t="shared" si="585"/>
        <v>0.16107538635465016</v>
      </c>
    </row>
    <row r="3463" spans="27:29">
      <c r="AA3463" s="50">
        <v>334.2</v>
      </c>
      <c r="AB3463" s="51">
        <v>68.272000000000006</v>
      </c>
      <c r="AC3463" s="52">
        <f t="shared" si="585"/>
        <v>0.16575737448476308</v>
      </c>
    </row>
    <row r="3464" spans="27:29">
      <c r="AA3464" s="50">
        <v>334.1</v>
      </c>
      <c r="AB3464" s="51">
        <v>67.688999999999993</v>
      </c>
      <c r="AC3464" s="52">
        <f t="shared" si="585"/>
        <v>0.16948190188279624</v>
      </c>
    </row>
    <row r="3465" spans="27:29">
      <c r="AA3465" s="50">
        <v>334</v>
      </c>
      <c r="AB3465" s="51">
        <v>67.56</v>
      </c>
      <c r="AC3465" s="52">
        <f t="shared" si="585"/>
        <v>0.17031035910102896</v>
      </c>
    </row>
    <row r="3466" spans="27:29">
      <c r="AA3466" s="50">
        <v>333.9</v>
      </c>
      <c r="AB3466" s="51">
        <v>67.47</v>
      </c>
      <c r="AC3466" s="52">
        <f t="shared" ref="AC3466:AC3529" si="586">-LOG(AB3466/100)</f>
        <v>0.17088928984470539</v>
      </c>
    </row>
    <row r="3467" spans="27:29">
      <c r="AA3467" s="50">
        <v>333.8</v>
      </c>
      <c r="AB3467" s="51">
        <v>67.623000000000005</v>
      </c>
      <c r="AC3467" s="52">
        <f t="shared" si="586"/>
        <v>0.1699055662744057</v>
      </c>
    </row>
    <row r="3468" spans="27:29">
      <c r="AA3468" s="50">
        <v>333.7</v>
      </c>
      <c r="AB3468" s="51">
        <v>67.906999999999996</v>
      </c>
      <c r="AC3468" s="52">
        <f t="shared" si="586"/>
        <v>0.16808545540020678</v>
      </c>
    </row>
    <row r="3469" spans="27:29">
      <c r="AA3469" s="50">
        <v>333.6</v>
      </c>
      <c r="AB3469" s="51">
        <v>68.486000000000004</v>
      </c>
      <c r="AC3469" s="52">
        <f t="shared" si="586"/>
        <v>0.16439819849527848</v>
      </c>
    </row>
    <row r="3470" spans="27:29">
      <c r="AA3470" s="50">
        <v>333.5</v>
      </c>
      <c r="AB3470" s="51">
        <v>69.22</v>
      </c>
      <c r="AC3470" s="52">
        <f t="shared" si="586"/>
        <v>0.15976840504189108</v>
      </c>
    </row>
    <row r="3471" spans="27:29">
      <c r="AA3471" s="50">
        <v>333.4</v>
      </c>
      <c r="AB3471" s="51">
        <v>70.173000000000002</v>
      </c>
      <c r="AC3471" s="52">
        <f t="shared" si="586"/>
        <v>0.1538299563400001</v>
      </c>
    </row>
    <row r="3472" spans="27:29">
      <c r="AA3472" s="50">
        <v>333.3</v>
      </c>
      <c r="AB3472" s="51">
        <v>71.096999999999994</v>
      </c>
      <c r="AC3472" s="52">
        <f t="shared" si="586"/>
        <v>0.14814872431852449</v>
      </c>
    </row>
    <row r="3473" spans="27:29">
      <c r="AA3473" s="50">
        <v>333.2</v>
      </c>
      <c r="AB3473" s="51">
        <v>72.164000000000001</v>
      </c>
      <c r="AC3473" s="52">
        <f t="shared" si="586"/>
        <v>0.14167940215983077</v>
      </c>
    </row>
    <row r="3474" spans="27:29">
      <c r="AA3474" s="50">
        <v>333.1</v>
      </c>
      <c r="AB3474" s="51">
        <v>73.019000000000005</v>
      </c>
      <c r="AC3474" s="52">
        <f t="shared" si="586"/>
        <v>0.13656411903701357</v>
      </c>
    </row>
    <row r="3475" spans="27:29">
      <c r="AA3475" s="50">
        <v>333</v>
      </c>
      <c r="AB3475" s="51">
        <v>74.009</v>
      </c>
      <c r="AC3475" s="52">
        <f t="shared" si="586"/>
        <v>0.13071546388161565</v>
      </c>
    </row>
    <row r="3476" spans="27:29">
      <c r="AA3476" s="50">
        <v>332.9</v>
      </c>
      <c r="AB3476" s="51">
        <v>75.02</v>
      </c>
      <c r="AC3476" s="52">
        <f t="shared" si="586"/>
        <v>0.12482294018529605</v>
      </c>
    </row>
    <row r="3477" spans="27:29">
      <c r="AA3477" s="50">
        <v>332.8</v>
      </c>
      <c r="AB3477" s="51">
        <v>75.965000000000003</v>
      </c>
      <c r="AC3477" s="52">
        <f t="shared" si="586"/>
        <v>0.11938645782463268</v>
      </c>
    </row>
    <row r="3478" spans="27:29">
      <c r="AA3478" s="50">
        <v>332.7</v>
      </c>
      <c r="AB3478" s="51">
        <v>76.706999999999994</v>
      </c>
      <c r="AC3478" s="52">
        <f t="shared" si="586"/>
        <v>0.11516500211807688</v>
      </c>
    </row>
    <row r="3479" spans="27:29">
      <c r="AA3479" s="50">
        <v>332.6</v>
      </c>
      <c r="AB3479" s="51">
        <v>77.418999999999997</v>
      </c>
      <c r="AC3479" s="52">
        <f t="shared" si="586"/>
        <v>0.1111524426436037</v>
      </c>
    </row>
    <row r="3480" spans="27:29">
      <c r="AA3480" s="50">
        <v>332.5</v>
      </c>
      <c r="AB3480" s="51">
        <v>78.072999999999993</v>
      </c>
      <c r="AC3480" s="52">
        <f t="shared" si="586"/>
        <v>0.10749913229903256</v>
      </c>
    </row>
    <row r="3481" spans="27:29">
      <c r="AA3481" s="50">
        <v>332.4</v>
      </c>
      <c r="AB3481" s="51">
        <v>78.555000000000007</v>
      </c>
      <c r="AC3481" s="52">
        <f t="shared" si="586"/>
        <v>0.10482616704283282</v>
      </c>
    </row>
    <row r="3482" spans="27:29">
      <c r="AA3482" s="50">
        <v>332.3</v>
      </c>
      <c r="AB3482" s="51">
        <v>78.888999999999996</v>
      </c>
      <c r="AC3482" s="52">
        <f t="shared" si="586"/>
        <v>0.10298354903831149</v>
      </c>
    </row>
    <row r="3483" spans="27:29">
      <c r="AA3483" s="50">
        <v>332.2</v>
      </c>
      <c r="AB3483" s="51">
        <v>79.244</v>
      </c>
      <c r="AC3483" s="52">
        <f t="shared" si="586"/>
        <v>0.10103361069427923</v>
      </c>
    </row>
    <row r="3484" spans="27:29">
      <c r="AA3484" s="50">
        <v>332.1</v>
      </c>
      <c r="AB3484" s="51">
        <v>79.489999999999995</v>
      </c>
      <c r="AC3484" s="52">
        <f t="shared" si="586"/>
        <v>9.9687503016273438E-2</v>
      </c>
    </row>
    <row r="3485" spans="27:29">
      <c r="AA3485" s="50">
        <v>332</v>
      </c>
      <c r="AB3485" s="51">
        <v>79.884</v>
      </c>
      <c r="AC3485" s="52">
        <f t="shared" si="586"/>
        <v>9.7540197000704418E-2</v>
      </c>
    </row>
    <row r="3486" spans="27:29">
      <c r="AA3486" s="50">
        <v>331.9</v>
      </c>
      <c r="AB3486" s="51">
        <v>80.177000000000007</v>
      </c>
      <c r="AC3486" s="52">
        <f t="shared" si="586"/>
        <v>9.5950197871235973E-2</v>
      </c>
    </row>
    <row r="3487" spans="27:29">
      <c r="AA3487" s="50">
        <v>331.8</v>
      </c>
      <c r="AB3487" s="51">
        <v>80.474999999999994</v>
      </c>
      <c r="AC3487" s="52">
        <f t="shared" si="586"/>
        <v>9.4339014642348881E-2</v>
      </c>
    </row>
    <row r="3488" spans="27:29">
      <c r="AA3488" s="50">
        <v>331.7</v>
      </c>
      <c r="AB3488" s="51">
        <v>80.707999999999998</v>
      </c>
      <c r="AC3488" s="52">
        <f t="shared" si="586"/>
        <v>9.3083414675009385E-2</v>
      </c>
    </row>
    <row r="3489" spans="27:29">
      <c r="AA3489" s="50">
        <v>331.6</v>
      </c>
      <c r="AB3489" s="51">
        <v>80.841999999999999</v>
      </c>
      <c r="AC3489" s="52">
        <f t="shared" si="586"/>
        <v>9.2362950745310549E-2</v>
      </c>
    </row>
    <row r="3490" spans="27:29">
      <c r="AA3490" s="50">
        <v>331.5</v>
      </c>
      <c r="AB3490" s="51">
        <v>81.099000000000004</v>
      </c>
      <c r="AC3490" s="52">
        <f t="shared" si="586"/>
        <v>9.0984500870958024E-2</v>
      </c>
    </row>
    <row r="3491" spans="27:29">
      <c r="AA3491" s="50">
        <v>331.4</v>
      </c>
      <c r="AB3491" s="51">
        <v>81.494</v>
      </c>
      <c r="AC3491" s="52">
        <f t="shared" si="586"/>
        <v>8.8874365036881384E-2</v>
      </c>
    </row>
    <row r="3492" spans="27:29">
      <c r="AA3492" s="50">
        <v>331.3</v>
      </c>
      <c r="AB3492" s="51">
        <v>81.73</v>
      </c>
      <c r="AC3492" s="52">
        <f t="shared" si="586"/>
        <v>8.761850108119966E-2</v>
      </c>
    </row>
    <row r="3493" spans="27:29">
      <c r="AA3493" s="50">
        <v>331.2</v>
      </c>
      <c r="AB3493" s="51">
        <v>81.891000000000005</v>
      </c>
      <c r="AC3493" s="52">
        <f t="shared" si="586"/>
        <v>8.676382553034917E-2</v>
      </c>
    </row>
    <row r="3494" spans="27:29">
      <c r="AA3494" s="50">
        <v>331.1</v>
      </c>
      <c r="AB3494" s="51">
        <v>82.135999999999996</v>
      </c>
      <c r="AC3494" s="52">
        <f t="shared" si="586"/>
        <v>8.5466450985981712E-2</v>
      </c>
    </row>
    <row r="3495" spans="27:29">
      <c r="AA3495" s="50">
        <v>331</v>
      </c>
      <c r="AB3495" s="51">
        <v>82.26</v>
      </c>
      <c r="AC3495" s="52">
        <f t="shared" si="586"/>
        <v>8.4811294826843714E-2</v>
      </c>
    </row>
    <row r="3496" spans="27:29">
      <c r="AA3496" s="50">
        <v>330.9</v>
      </c>
      <c r="AB3496" s="51">
        <v>82.478999999999999</v>
      </c>
      <c r="AC3496" s="52">
        <f t="shared" si="586"/>
        <v>8.365661320847112E-2</v>
      </c>
    </row>
    <row r="3497" spans="27:29">
      <c r="AA3497" s="50">
        <v>330.8</v>
      </c>
      <c r="AB3497" s="51">
        <v>82.751000000000005</v>
      </c>
      <c r="AC3497" s="52">
        <f t="shared" si="586"/>
        <v>8.2226749312270336E-2</v>
      </c>
    </row>
    <row r="3498" spans="27:29">
      <c r="AA3498" s="50">
        <v>330.7</v>
      </c>
      <c r="AB3498" s="51">
        <v>83.188000000000002</v>
      </c>
      <c r="AC3498" s="52">
        <f t="shared" si="586"/>
        <v>7.993931685411669E-2</v>
      </c>
    </row>
    <row r="3499" spans="27:29">
      <c r="AA3499" s="50">
        <v>330.6</v>
      </c>
      <c r="AB3499" s="51">
        <v>83.593000000000004</v>
      </c>
      <c r="AC3499" s="52">
        <f t="shared" si="586"/>
        <v>7.7830088453994639E-2</v>
      </c>
    </row>
    <row r="3500" spans="27:29">
      <c r="AA3500" s="50">
        <v>330.5</v>
      </c>
      <c r="AB3500" s="51">
        <v>83.748999999999995</v>
      </c>
      <c r="AC3500" s="52">
        <f t="shared" si="586"/>
        <v>7.7020369927830332E-2</v>
      </c>
    </row>
    <row r="3501" spans="27:29">
      <c r="AA3501" s="50">
        <v>330.4</v>
      </c>
      <c r="AB3501" s="51">
        <v>84.066000000000003</v>
      </c>
      <c r="AC3501" s="52">
        <f t="shared" si="586"/>
        <v>7.5379616544486466E-2</v>
      </c>
    </row>
    <row r="3502" spans="27:29">
      <c r="AA3502" s="50">
        <v>330.3</v>
      </c>
      <c r="AB3502" s="51">
        <v>84.093000000000004</v>
      </c>
      <c r="AC3502" s="52">
        <f t="shared" si="586"/>
        <v>7.5240153879839872E-2</v>
      </c>
    </row>
    <row r="3503" spans="27:29">
      <c r="AA3503" s="50">
        <v>330.2</v>
      </c>
      <c r="AB3503" s="51">
        <v>84.367999999999995</v>
      </c>
      <c r="AC3503" s="52">
        <f t="shared" si="586"/>
        <v>7.3822246012611087E-2</v>
      </c>
    </row>
    <row r="3504" spans="27:29">
      <c r="AA3504" s="50">
        <v>330.1</v>
      </c>
      <c r="AB3504" s="51">
        <v>84.521000000000001</v>
      </c>
      <c r="AC3504" s="52">
        <f t="shared" si="586"/>
        <v>7.3035373286634536E-2</v>
      </c>
    </row>
    <row r="3505" spans="27:29">
      <c r="AA3505" s="50">
        <v>330</v>
      </c>
      <c r="AB3505" s="51">
        <v>84.635999999999996</v>
      </c>
      <c r="AC3505" s="52">
        <f t="shared" si="586"/>
        <v>7.2444870107773368E-2</v>
      </c>
    </row>
    <row r="3506" spans="27:29">
      <c r="AA3506" s="50">
        <v>329.9</v>
      </c>
      <c r="AB3506" s="51">
        <v>84.733999999999995</v>
      </c>
      <c r="AC3506" s="52">
        <f t="shared" si="586"/>
        <v>7.194229156403785E-2</v>
      </c>
    </row>
    <row r="3507" spans="27:29">
      <c r="AA3507" s="50">
        <v>329.8</v>
      </c>
      <c r="AB3507" s="51">
        <v>84.831999999999994</v>
      </c>
      <c r="AC3507" s="52">
        <f t="shared" si="586"/>
        <v>7.1440293947000619E-2</v>
      </c>
    </row>
    <row r="3508" spans="27:29">
      <c r="AA3508" s="50">
        <v>329.7</v>
      </c>
      <c r="AB3508" s="51">
        <v>84.924000000000007</v>
      </c>
      <c r="AC3508" s="52">
        <f t="shared" si="586"/>
        <v>7.0969558347117226E-2</v>
      </c>
    </row>
    <row r="3509" spans="27:29">
      <c r="AA3509" s="50">
        <v>329.6</v>
      </c>
      <c r="AB3509" s="51">
        <v>85.048000000000002</v>
      </c>
      <c r="AC3509" s="52">
        <f t="shared" si="586"/>
        <v>7.0335894857722028E-2</v>
      </c>
    </row>
    <row r="3510" spans="27:29">
      <c r="AA3510" s="50">
        <v>329.5</v>
      </c>
      <c r="AB3510" s="51">
        <v>85.284000000000006</v>
      </c>
      <c r="AC3510" s="52">
        <f t="shared" si="586"/>
        <v>6.913243850994763E-2</v>
      </c>
    </row>
    <row r="3511" spans="27:29">
      <c r="AA3511" s="50">
        <v>329.4</v>
      </c>
      <c r="AB3511" s="51">
        <v>85.441999999999993</v>
      </c>
      <c r="AC3511" s="52">
        <f t="shared" si="586"/>
        <v>6.8328594365168915E-2</v>
      </c>
    </row>
    <row r="3512" spans="27:29">
      <c r="AA3512" s="50">
        <v>329.3</v>
      </c>
      <c r="AB3512" s="51">
        <v>85.635000000000005</v>
      </c>
      <c r="AC3512" s="52">
        <f t="shared" si="586"/>
        <v>6.7348697937635843E-2</v>
      </c>
    </row>
    <row r="3513" spans="27:29">
      <c r="AA3513" s="50">
        <v>329.2</v>
      </c>
      <c r="AB3513" s="51">
        <v>85.602000000000004</v>
      </c>
      <c r="AC3513" s="52">
        <f t="shared" si="586"/>
        <v>6.751608837405125E-2</v>
      </c>
    </row>
    <row r="3514" spans="27:29">
      <c r="AA3514" s="50">
        <v>329.1</v>
      </c>
      <c r="AB3514" s="51">
        <v>85.524000000000001</v>
      </c>
      <c r="AC3514" s="52">
        <f t="shared" si="586"/>
        <v>6.7911995155421498E-2</v>
      </c>
    </row>
    <row r="3515" spans="27:29">
      <c r="AA3515" s="50">
        <v>329</v>
      </c>
      <c r="AB3515" s="51">
        <v>85.537999999999997</v>
      </c>
      <c r="AC3515" s="52">
        <f t="shared" si="586"/>
        <v>6.7840908382669901E-2</v>
      </c>
    </row>
    <row r="3516" spans="27:29">
      <c r="AA3516" s="50">
        <v>328.9</v>
      </c>
      <c r="AB3516" s="51">
        <v>85.447000000000003</v>
      </c>
      <c r="AC3516" s="52">
        <f t="shared" si="586"/>
        <v>6.830318053033882E-2</v>
      </c>
    </row>
    <row r="3517" spans="27:29">
      <c r="AA3517" s="50">
        <v>328.8</v>
      </c>
      <c r="AB3517" s="51">
        <v>85.463999999999999</v>
      </c>
      <c r="AC3517" s="52">
        <f t="shared" si="586"/>
        <v>6.8216784614140338E-2</v>
      </c>
    </row>
    <row r="3518" spans="27:29">
      <c r="AA3518" s="50">
        <v>328.7</v>
      </c>
      <c r="AB3518" s="51">
        <v>85.49</v>
      </c>
      <c r="AC3518" s="52">
        <f t="shared" si="586"/>
        <v>6.80846829187539E-2</v>
      </c>
    </row>
    <row r="3519" spans="27:29">
      <c r="AA3519" s="50">
        <v>328.6</v>
      </c>
      <c r="AB3519" s="51">
        <v>85.495000000000005</v>
      </c>
      <c r="AC3519" s="52">
        <f t="shared" si="586"/>
        <v>6.8059283352591482E-2</v>
      </c>
    </row>
    <row r="3520" spans="27:29">
      <c r="AA3520" s="50">
        <v>328.5</v>
      </c>
      <c r="AB3520" s="51">
        <v>85.622</v>
      </c>
      <c r="AC3520" s="52">
        <f t="shared" si="586"/>
        <v>6.7414631923114851E-2</v>
      </c>
    </row>
    <row r="3521" spans="27:29">
      <c r="AA3521" s="50">
        <v>328.4</v>
      </c>
      <c r="AB3521" s="51">
        <v>85.590999999999994</v>
      </c>
      <c r="AC3521" s="52">
        <f t="shared" si="586"/>
        <v>6.7571899526464169E-2</v>
      </c>
    </row>
    <row r="3522" spans="27:29">
      <c r="AA3522" s="50">
        <v>328.3</v>
      </c>
      <c r="AB3522" s="51">
        <v>85.614999999999995</v>
      </c>
      <c r="AC3522" s="52">
        <f t="shared" si="586"/>
        <v>6.7450138984964991E-2</v>
      </c>
    </row>
    <row r="3523" spans="27:29">
      <c r="AA3523" s="50">
        <v>328.2</v>
      </c>
      <c r="AB3523" s="51">
        <v>85.685000000000002</v>
      </c>
      <c r="AC3523" s="52">
        <f t="shared" si="586"/>
        <v>6.7095198933296657E-2</v>
      </c>
    </row>
    <row r="3524" spans="27:29">
      <c r="AA3524" s="50">
        <v>328.1</v>
      </c>
      <c r="AB3524" s="51">
        <v>85.686999999999998</v>
      </c>
      <c r="AC3524" s="52">
        <f t="shared" si="586"/>
        <v>6.7085062050213695E-2</v>
      </c>
    </row>
    <row r="3525" spans="27:29">
      <c r="AA3525" s="50">
        <v>328</v>
      </c>
      <c r="AB3525" s="51">
        <v>85.805000000000007</v>
      </c>
      <c r="AC3525" s="52">
        <f t="shared" si="586"/>
        <v>6.6487404352452623E-2</v>
      </c>
    </row>
    <row r="3526" spans="27:29">
      <c r="AA3526" s="50">
        <v>327.9</v>
      </c>
      <c r="AB3526" s="51">
        <v>85.734999999999999</v>
      </c>
      <c r="AC3526" s="52">
        <f t="shared" si="586"/>
        <v>6.6841847810779162E-2</v>
      </c>
    </row>
    <row r="3527" spans="27:29">
      <c r="AA3527" s="50">
        <v>327.8</v>
      </c>
      <c r="AB3527" s="51">
        <v>85.545000000000002</v>
      </c>
      <c r="AC3527" s="52">
        <f t="shared" si="586"/>
        <v>6.7805369359213163E-2</v>
      </c>
    </row>
    <row r="3528" spans="27:29">
      <c r="AA3528" s="50">
        <v>327.7</v>
      </c>
      <c r="AB3528" s="51">
        <v>85.492999999999995</v>
      </c>
      <c r="AC3528" s="52">
        <f t="shared" si="586"/>
        <v>6.8069443000798979E-2</v>
      </c>
    </row>
    <row r="3529" spans="27:29">
      <c r="AA3529" s="50">
        <v>327.60000000000002</v>
      </c>
      <c r="AB3529" s="51">
        <v>85.421999999999997</v>
      </c>
      <c r="AC3529" s="52">
        <f t="shared" si="586"/>
        <v>6.8430264578645525E-2</v>
      </c>
    </row>
    <row r="3530" spans="27:29">
      <c r="AA3530" s="50">
        <v>327.5</v>
      </c>
      <c r="AB3530" s="51">
        <v>85.480999999999995</v>
      </c>
      <c r="AC3530" s="52">
        <f t="shared" ref="AC3530:AC3593" si="587">-LOG(AB3530/100)</f>
        <v>6.8130405881604211E-2</v>
      </c>
    </row>
    <row r="3531" spans="27:29">
      <c r="AA3531" s="50">
        <v>327.39999999999998</v>
      </c>
      <c r="AB3531" s="51">
        <v>85.587000000000003</v>
      </c>
      <c r="AC3531" s="52">
        <f t="shared" si="587"/>
        <v>6.7592196269362512E-2</v>
      </c>
    </row>
    <row r="3532" spans="27:29">
      <c r="AA3532" s="50">
        <v>327.3</v>
      </c>
      <c r="AB3532" s="51">
        <v>85.697999999999993</v>
      </c>
      <c r="AC3532" s="52">
        <f t="shared" si="587"/>
        <v>6.7029313422183309E-2</v>
      </c>
    </row>
    <row r="3533" spans="27:29">
      <c r="AA3533" s="50">
        <v>327.2</v>
      </c>
      <c r="AB3533" s="51">
        <v>85.653000000000006</v>
      </c>
      <c r="AC3533" s="52">
        <f t="shared" si="587"/>
        <v>6.7257421249215951E-2</v>
      </c>
    </row>
    <row r="3534" spans="27:29">
      <c r="AA3534" s="50">
        <v>327.10000000000002</v>
      </c>
      <c r="AB3534" s="51">
        <v>85.680999999999997</v>
      </c>
      <c r="AC3534" s="52">
        <f t="shared" si="587"/>
        <v>6.711547340930625E-2</v>
      </c>
    </row>
    <row r="3535" spans="27:29">
      <c r="AA3535" s="50">
        <v>327</v>
      </c>
      <c r="AB3535" s="51">
        <v>85.665000000000006</v>
      </c>
      <c r="AC3535" s="52">
        <f t="shared" si="587"/>
        <v>6.7196580779547127E-2</v>
      </c>
    </row>
    <row r="3536" spans="27:29">
      <c r="AA3536" s="50">
        <v>326.89999999999998</v>
      </c>
      <c r="AB3536" s="51">
        <v>85.593000000000004</v>
      </c>
      <c r="AC3536" s="52">
        <f t="shared" si="587"/>
        <v>6.7561751510716764E-2</v>
      </c>
    </row>
    <row r="3537" spans="27:29">
      <c r="AA3537" s="50">
        <v>326.8</v>
      </c>
      <c r="AB3537" s="51">
        <v>85.539000000000001</v>
      </c>
      <c r="AC3537" s="52">
        <f t="shared" si="587"/>
        <v>6.7835831201261396E-2</v>
      </c>
    </row>
    <row r="3538" spans="27:29">
      <c r="AA3538" s="50">
        <v>326.7</v>
      </c>
      <c r="AB3538" s="51">
        <v>85.558000000000007</v>
      </c>
      <c r="AC3538" s="52">
        <f t="shared" si="587"/>
        <v>6.7739376030333961E-2</v>
      </c>
    </row>
    <row r="3539" spans="27:29">
      <c r="AA3539" s="50">
        <v>326.60000000000002</v>
      </c>
      <c r="AB3539" s="51">
        <v>85.563999999999993</v>
      </c>
      <c r="AC3539" s="52">
        <f t="shared" si="587"/>
        <v>6.7708920952757948E-2</v>
      </c>
    </row>
    <row r="3540" spans="27:29">
      <c r="AA3540" s="50">
        <v>326.5</v>
      </c>
      <c r="AB3540" s="51">
        <v>85.465999999999994</v>
      </c>
      <c r="AC3540" s="52">
        <f t="shared" si="587"/>
        <v>6.8206621518559149E-2</v>
      </c>
    </row>
    <row r="3541" spans="27:29">
      <c r="AA3541" s="50">
        <v>326.39999999999998</v>
      </c>
      <c r="AB3541" s="51">
        <v>85.412000000000006</v>
      </c>
      <c r="AC3541" s="52">
        <f t="shared" si="587"/>
        <v>6.8481108612315489E-2</v>
      </c>
    </row>
    <row r="3542" spans="27:29">
      <c r="AA3542" s="50">
        <v>326.3</v>
      </c>
      <c r="AB3542" s="51">
        <v>85.319000000000003</v>
      </c>
      <c r="AC3542" s="52">
        <f t="shared" si="587"/>
        <v>6.8954243436240084E-2</v>
      </c>
    </row>
    <row r="3543" spans="27:29">
      <c r="AA3543" s="50">
        <v>326.2</v>
      </c>
      <c r="AB3543" s="51">
        <v>85.537999999999997</v>
      </c>
      <c r="AC3543" s="52">
        <f t="shared" si="587"/>
        <v>6.7840908382669901E-2</v>
      </c>
    </row>
    <row r="3544" spans="27:29">
      <c r="AA3544" s="50">
        <v>326.10000000000002</v>
      </c>
      <c r="AB3544" s="51">
        <v>85.593000000000004</v>
      </c>
      <c r="AC3544" s="52">
        <f t="shared" si="587"/>
        <v>6.7561751510716764E-2</v>
      </c>
    </row>
    <row r="3545" spans="27:29">
      <c r="AA3545" s="50">
        <v>326</v>
      </c>
      <c r="AB3545" s="51">
        <v>85.52</v>
      </c>
      <c r="AC3545" s="52">
        <f t="shared" si="587"/>
        <v>6.7932307799278419E-2</v>
      </c>
    </row>
    <row r="3546" spans="27:29">
      <c r="AA3546" s="50">
        <v>325.89999999999998</v>
      </c>
      <c r="AB3546" s="51">
        <v>85.447999999999993</v>
      </c>
      <c r="AC3546" s="52">
        <f t="shared" si="587"/>
        <v>6.8298097941826563E-2</v>
      </c>
    </row>
    <row r="3547" spans="27:29">
      <c r="AA3547" s="50">
        <v>325.8</v>
      </c>
      <c r="AB3547" s="51">
        <v>85.304000000000002</v>
      </c>
      <c r="AC3547" s="52">
        <f t="shared" si="587"/>
        <v>6.9030603800848966E-2</v>
      </c>
    </row>
    <row r="3548" spans="27:29">
      <c r="AA3548" s="50">
        <v>325.7</v>
      </c>
      <c r="AB3548" s="51">
        <v>85.27</v>
      </c>
      <c r="AC3548" s="52">
        <f t="shared" si="587"/>
        <v>6.9203737016699782E-2</v>
      </c>
    </row>
    <row r="3549" spans="27:29">
      <c r="AA3549" s="50">
        <v>325.60000000000002</v>
      </c>
      <c r="AB3549" s="51">
        <v>85.3</v>
      </c>
      <c r="AC3549" s="52">
        <f t="shared" si="587"/>
        <v>6.905096883247698E-2</v>
      </c>
    </row>
    <row r="3550" spans="27:29">
      <c r="AA3550" s="50">
        <v>325.5</v>
      </c>
      <c r="AB3550" s="51">
        <v>85.42</v>
      </c>
      <c r="AC3550" s="52">
        <f t="shared" si="587"/>
        <v>6.8440432909194715E-2</v>
      </c>
    </row>
    <row r="3551" spans="27:29">
      <c r="AA3551" s="50">
        <v>325.39999999999998</v>
      </c>
      <c r="AB3551" s="51">
        <v>85.284000000000006</v>
      </c>
      <c r="AC3551" s="52">
        <f t="shared" si="587"/>
        <v>6.913243850994763E-2</v>
      </c>
    </row>
    <row r="3552" spans="27:29">
      <c r="AA3552" s="50">
        <v>325.3</v>
      </c>
      <c r="AB3552" s="51">
        <v>85.289000000000001</v>
      </c>
      <c r="AC3552" s="52">
        <f t="shared" si="587"/>
        <v>6.910697759397455E-2</v>
      </c>
    </row>
    <row r="3553" spans="27:29">
      <c r="AA3553" s="50">
        <v>325.2</v>
      </c>
      <c r="AB3553" s="51">
        <v>85.253</v>
      </c>
      <c r="AC3553" s="52">
        <f t="shared" si="587"/>
        <v>6.9290329514096777E-2</v>
      </c>
    </row>
    <row r="3554" spans="27:29">
      <c r="AA3554" s="50">
        <v>325.10000000000002</v>
      </c>
      <c r="AB3554" s="51">
        <v>85.16</v>
      </c>
      <c r="AC3554" s="52">
        <f t="shared" si="587"/>
        <v>6.9764347233715093E-2</v>
      </c>
    </row>
    <row r="3555" spans="27:29">
      <c r="AA3555" s="50">
        <v>325</v>
      </c>
      <c r="AB3555" s="51">
        <v>85.319000000000003</v>
      </c>
      <c r="AC3555" s="52">
        <f t="shared" si="587"/>
        <v>6.8954243436240084E-2</v>
      </c>
    </row>
    <row r="3556" spans="27:29">
      <c r="AA3556" s="50">
        <v>324.89999999999998</v>
      </c>
      <c r="AB3556" s="51">
        <v>85.096000000000004</v>
      </c>
      <c r="AC3556" s="52">
        <f t="shared" si="587"/>
        <v>7.0090853766829678E-2</v>
      </c>
    </row>
    <row r="3557" spans="27:29">
      <c r="AA3557" s="50">
        <v>324.8</v>
      </c>
      <c r="AB3557" s="51">
        <v>85.137</v>
      </c>
      <c r="AC3557" s="52">
        <f t="shared" si="587"/>
        <v>6.988165726436163E-2</v>
      </c>
    </row>
    <row r="3558" spans="27:29">
      <c r="AA3558" s="50">
        <v>324.7</v>
      </c>
      <c r="AB3558" s="51">
        <v>84.965000000000003</v>
      </c>
      <c r="AC3558" s="52">
        <f t="shared" si="587"/>
        <v>7.07599382527766E-2</v>
      </c>
    </row>
    <row r="3559" spans="27:29">
      <c r="AA3559" s="50">
        <v>324.60000000000002</v>
      </c>
      <c r="AB3559" s="51">
        <v>84.936000000000007</v>
      </c>
      <c r="AC3559" s="52">
        <f t="shared" si="587"/>
        <v>7.0908195650879038E-2</v>
      </c>
    </row>
    <row r="3560" spans="27:29">
      <c r="AA3560" s="50">
        <v>324.5</v>
      </c>
      <c r="AB3560" s="51">
        <v>84.775999999999996</v>
      </c>
      <c r="AC3560" s="52">
        <f t="shared" si="587"/>
        <v>7.172707867260722E-2</v>
      </c>
    </row>
    <row r="3561" spans="27:29">
      <c r="AA3561" s="50">
        <v>324.39999999999998</v>
      </c>
      <c r="AB3561" s="51">
        <v>84.805000000000007</v>
      </c>
      <c r="AC3561" s="52">
        <f t="shared" si="587"/>
        <v>7.1578541512218111E-2</v>
      </c>
    </row>
    <row r="3562" spans="27:29">
      <c r="AA3562" s="50">
        <v>324.3</v>
      </c>
      <c r="AB3562" s="51">
        <v>84.724999999999994</v>
      </c>
      <c r="AC3562" s="52">
        <f t="shared" si="587"/>
        <v>7.1988422490584167E-2</v>
      </c>
    </row>
    <row r="3563" spans="27:29">
      <c r="AA3563" s="50">
        <v>324.2</v>
      </c>
      <c r="AB3563" s="51">
        <v>84.754000000000005</v>
      </c>
      <c r="AC3563" s="52">
        <f t="shared" si="587"/>
        <v>7.1839795933923811E-2</v>
      </c>
    </row>
    <row r="3564" spans="27:29">
      <c r="AA3564" s="50">
        <v>324.10000000000002</v>
      </c>
      <c r="AB3564" s="51">
        <v>84.787000000000006</v>
      </c>
      <c r="AC3564" s="52">
        <f t="shared" si="587"/>
        <v>7.1670731010586144E-2</v>
      </c>
    </row>
    <row r="3565" spans="27:29">
      <c r="AA3565" s="50">
        <v>324</v>
      </c>
      <c r="AB3565" s="51">
        <v>84.772000000000006</v>
      </c>
      <c r="AC3565" s="52">
        <f t="shared" si="587"/>
        <v>7.1747570544265185E-2</v>
      </c>
    </row>
    <row r="3566" spans="27:29">
      <c r="AA3566" s="50">
        <v>323.89999999999998</v>
      </c>
      <c r="AB3566" s="51">
        <v>84.622</v>
      </c>
      <c r="AC3566" s="52">
        <f t="shared" si="587"/>
        <v>7.2516714543611124E-2</v>
      </c>
    </row>
    <row r="3567" spans="27:29">
      <c r="AA3567" s="50">
        <v>323.8</v>
      </c>
      <c r="AB3567" s="51">
        <v>84.513000000000005</v>
      </c>
      <c r="AC3567" s="52">
        <f t="shared" si="587"/>
        <v>7.3076481653682801E-2</v>
      </c>
    </row>
    <row r="3568" spans="27:29">
      <c r="AA3568" s="50">
        <v>323.7</v>
      </c>
      <c r="AB3568" s="51">
        <v>84.474000000000004</v>
      </c>
      <c r="AC3568" s="52">
        <f t="shared" si="587"/>
        <v>7.327694068419921E-2</v>
      </c>
    </row>
    <row r="3569" spans="27:29">
      <c r="AA3569" s="50">
        <v>323.60000000000002</v>
      </c>
      <c r="AB3569" s="51">
        <v>84.361999999999995</v>
      </c>
      <c r="AC3569" s="52">
        <f t="shared" si="587"/>
        <v>7.3853132836442306E-2</v>
      </c>
    </row>
    <row r="3570" spans="27:29">
      <c r="AA3570" s="50">
        <v>323.5</v>
      </c>
      <c r="AB3570" s="51">
        <v>84.408000000000001</v>
      </c>
      <c r="AC3570" s="52">
        <f t="shared" si="587"/>
        <v>7.3616389971451368E-2</v>
      </c>
    </row>
    <row r="3571" spans="27:29">
      <c r="AA3571" s="50">
        <v>323.39999999999998</v>
      </c>
      <c r="AB3571" s="51">
        <v>84.393000000000001</v>
      </c>
      <c r="AC3571" s="52">
        <f t="shared" si="587"/>
        <v>7.3693574552652893E-2</v>
      </c>
    </row>
    <row r="3572" spans="27:29">
      <c r="AA3572" s="50">
        <v>323.3</v>
      </c>
      <c r="AB3572" s="51">
        <v>84.311000000000007</v>
      </c>
      <c r="AC3572" s="52">
        <f t="shared" si="587"/>
        <v>7.411575956688557E-2</v>
      </c>
    </row>
    <row r="3573" spans="27:29">
      <c r="AA3573" s="50">
        <v>323.2</v>
      </c>
      <c r="AB3573" s="51">
        <v>84.218000000000004</v>
      </c>
      <c r="AC3573" s="52">
        <f t="shared" si="587"/>
        <v>7.4595076371907876E-2</v>
      </c>
    </row>
    <row r="3574" spans="27:29">
      <c r="AA3574" s="50">
        <v>323.10000000000002</v>
      </c>
      <c r="AB3574" s="51">
        <v>84.103999999999999</v>
      </c>
      <c r="AC3574" s="52">
        <f t="shared" si="587"/>
        <v>7.518334859427897E-2</v>
      </c>
    </row>
    <row r="3575" spans="27:29">
      <c r="AA3575" s="50">
        <v>323</v>
      </c>
      <c r="AB3575" s="51">
        <v>84.284000000000006</v>
      </c>
      <c r="AC3575" s="52">
        <f t="shared" si="587"/>
        <v>7.4254861570048569E-2</v>
      </c>
    </row>
    <row r="3576" spans="27:29">
      <c r="AA3576" s="50">
        <v>322.89999999999998</v>
      </c>
      <c r="AB3576" s="51">
        <v>84.41</v>
      </c>
      <c r="AC3576" s="52">
        <f t="shared" si="587"/>
        <v>7.3606099730317801E-2</v>
      </c>
    </row>
    <row r="3577" spans="27:29">
      <c r="AA3577" s="50">
        <v>322.8</v>
      </c>
      <c r="AB3577" s="51">
        <v>84.475999999999999</v>
      </c>
      <c r="AC3577" s="52">
        <f t="shared" si="587"/>
        <v>7.3266658482792374E-2</v>
      </c>
    </row>
    <row r="3578" spans="27:29">
      <c r="AA3578" s="50">
        <v>322.7</v>
      </c>
      <c r="AB3578" s="51">
        <v>84.275000000000006</v>
      </c>
      <c r="AC3578" s="52">
        <f t="shared" si="587"/>
        <v>7.4301238806990411E-2</v>
      </c>
    </row>
    <row r="3579" spans="27:29">
      <c r="AA3579" s="50">
        <v>322.60000000000002</v>
      </c>
      <c r="AB3579" s="51">
        <v>84.063999999999993</v>
      </c>
      <c r="AC3579" s="52">
        <f t="shared" si="587"/>
        <v>7.538994889402377E-2</v>
      </c>
    </row>
    <row r="3580" spans="27:29">
      <c r="AA3580" s="50">
        <v>322.5</v>
      </c>
      <c r="AB3580" s="51">
        <v>84.066000000000003</v>
      </c>
      <c r="AC3580" s="52">
        <f t="shared" si="587"/>
        <v>7.5379616544486466E-2</v>
      </c>
    </row>
    <row r="3581" spans="27:29">
      <c r="AA3581" s="50">
        <v>322.39999999999998</v>
      </c>
      <c r="AB3581" s="51">
        <v>84.007999999999996</v>
      </c>
      <c r="AC3581" s="52">
        <f t="shared" si="587"/>
        <v>7.5679354528353934E-2</v>
      </c>
    </row>
    <row r="3582" spans="27:29">
      <c r="AA3582" s="50">
        <v>322.3</v>
      </c>
      <c r="AB3582" s="51">
        <v>84.123000000000005</v>
      </c>
      <c r="AC3582" s="52">
        <f t="shared" si="587"/>
        <v>7.5085247870955732E-2</v>
      </c>
    </row>
    <row r="3583" spans="27:29">
      <c r="AA3583" s="50">
        <v>322.2</v>
      </c>
      <c r="AB3583" s="51">
        <v>84.147999999999996</v>
      </c>
      <c r="AC3583" s="52">
        <f t="shared" si="587"/>
        <v>7.4956201723640217E-2</v>
      </c>
    </row>
    <row r="3584" spans="27:29">
      <c r="AA3584" s="50">
        <v>322.10000000000002</v>
      </c>
      <c r="AB3584" s="51">
        <v>84.177999999999997</v>
      </c>
      <c r="AC3584" s="52">
        <f t="shared" si="587"/>
        <v>7.4801396944877016E-2</v>
      </c>
    </row>
    <row r="3585" spans="27:29">
      <c r="AA3585" s="50">
        <v>322</v>
      </c>
      <c r="AB3585" s="51">
        <v>84.057000000000002</v>
      </c>
      <c r="AC3585" s="52">
        <f t="shared" si="587"/>
        <v>7.5426114053344442E-2</v>
      </c>
    </row>
    <row r="3586" spans="27:29">
      <c r="AA3586" s="50">
        <v>321.89999999999998</v>
      </c>
      <c r="AB3586" s="51">
        <v>84.212000000000003</v>
      </c>
      <c r="AC3586" s="52">
        <f t="shared" si="587"/>
        <v>7.4626018209971445E-2</v>
      </c>
    </row>
    <row r="3587" spans="27:29">
      <c r="AA3587" s="50">
        <v>321.8</v>
      </c>
      <c r="AB3587" s="51">
        <v>84.269000000000005</v>
      </c>
      <c r="AC3587" s="52">
        <f t="shared" si="587"/>
        <v>7.4332159716575127E-2</v>
      </c>
    </row>
    <row r="3588" spans="27:29">
      <c r="AA3588" s="50">
        <v>321.7</v>
      </c>
      <c r="AB3588" s="51">
        <v>84.366</v>
      </c>
      <c r="AC3588" s="52">
        <f t="shared" si="587"/>
        <v>7.383254137648379E-2</v>
      </c>
    </row>
    <row r="3589" spans="27:29">
      <c r="AA3589" s="50">
        <v>321.60000000000002</v>
      </c>
      <c r="AB3589" s="51">
        <v>84.391000000000005</v>
      </c>
      <c r="AC3589" s="52">
        <f t="shared" si="587"/>
        <v>7.3703866866661846E-2</v>
      </c>
    </row>
    <row r="3590" spans="27:29">
      <c r="AA3590" s="50">
        <v>321.5</v>
      </c>
      <c r="AB3590" s="51">
        <v>84.284999999999997</v>
      </c>
      <c r="AC3590" s="52">
        <f t="shared" si="587"/>
        <v>7.4249708849418949E-2</v>
      </c>
    </row>
    <row r="3591" spans="27:29">
      <c r="AA3591" s="50">
        <v>321.39999999999998</v>
      </c>
      <c r="AB3591" s="51">
        <v>84.31</v>
      </c>
      <c r="AC3591" s="52">
        <f t="shared" si="587"/>
        <v>7.4120910698499146E-2</v>
      </c>
    </row>
    <row r="3592" spans="27:29">
      <c r="AA3592" s="50">
        <v>321.3</v>
      </c>
      <c r="AB3592" s="51">
        <v>84.221999999999994</v>
      </c>
      <c r="AC3592" s="52">
        <f t="shared" si="587"/>
        <v>7.4574449704513712E-2</v>
      </c>
    </row>
    <row r="3593" spans="27:29">
      <c r="AA3593" s="50">
        <v>321.2</v>
      </c>
      <c r="AB3593" s="51">
        <v>84.147000000000006</v>
      </c>
      <c r="AC3593" s="52">
        <f t="shared" si="587"/>
        <v>7.4961362833380923E-2</v>
      </c>
    </row>
    <row r="3594" spans="27:29">
      <c r="AA3594" s="50">
        <v>321.10000000000002</v>
      </c>
      <c r="AB3594" s="51">
        <v>84.093999999999994</v>
      </c>
      <c r="AC3594" s="52">
        <f t="shared" ref="AC3594:AC3657" si="588">-LOG(AB3594/100)</f>
        <v>7.5234989455931947E-2</v>
      </c>
    </row>
    <row r="3595" spans="27:29">
      <c r="AA3595" s="50">
        <v>321</v>
      </c>
      <c r="AB3595" s="51">
        <v>84.055000000000007</v>
      </c>
      <c r="AC3595" s="52">
        <f t="shared" si="588"/>
        <v>7.5436447509181603E-2</v>
      </c>
    </row>
    <row r="3596" spans="27:29">
      <c r="AA3596" s="50">
        <v>320.89999999999998</v>
      </c>
      <c r="AB3596" s="51">
        <v>84.111000000000004</v>
      </c>
      <c r="AC3596" s="52">
        <f t="shared" si="588"/>
        <v>7.5147203644362753E-2</v>
      </c>
    </row>
    <row r="3597" spans="27:29">
      <c r="AA3597" s="50">
        <v>320.8</v>
      </c>
      <c r="AB3597" s="51">
        <v>84.248000000000005</v>
      </c>
      <c r="AC3597" s="52">
        <f t="shared" si="588"/>
        <v>7.444040024028703E-2</v>
      </c>
    </row>
    <row r="3598" spans="27:29">
      <c r="AA3598" s="50">
        <v>320.7</v>
      </c>
      <c r="AB3598" s="51">
        <v>84.263999999999996</v>
      </c>
      <c r="AC3598" s="52">
        <f t="shared" si="588"/>
        <v>7.435792882304279E-2</v>
      </c>
    </row>
    <row r="3599" spans="27:29">
      <c r="AA3599" s="50">
        <v>320.60000000000002</v>
      </c>
      <c r="AB3599" s="51">
        <v>84.162000000000006</v>
      </c>
      <c r="AC3599" s="52">
        <f t="shared" si="588"/>
        <v>7.4883952626608907E-2</v>
      </c>
    </row>
    <row r="3600" spans="27:29">
      <c r="AA3600" s="50">
        <v>320.5</v>
      </c>
      <c r="AB3600" s="51">
        <v>84.055000000000007</v>
      </c>
      <c r="AC3600" s="52">
        <f t="shared" si="588"/>
        <v>7.5436447509181603E-2</v>
      </c>
    </row>
    <row r="3601" spans="27:29">
      <c r="AA3601" s="50">
        <v>320.39999999999998</v>
      </c>
      <c r="AB3601" s="51">
        <v>84.012</v>
      </c>
      <c r="AC3601" s="52">
        <f t="shared" si="588"/>
        <v>7.565867630042937E-2</v>
      </c>
    </row>
    <row r="3602" spans="27:29">
      <c r="AA3602" s="50">
        <v>320.3</v>
      </c>
      <c r="AB3602" s="51">
        <v>84.073999999999998</v>
      </c>
      <c r="AC3602" s="52">
        <f t="shared" si="588"/>
        <v>7.5338289604343231E-2</v>
      </c>
    </row>
    <row r="3603" spans="27:29">
      <c r="AA3603" s="50">
        <v>320.2</v>
      </c>
      <c r="AB3603" s="51">
        <v>84.064999999999998</v>
      </c>
      <c r="AC3603" s="52">
        <f t="shared" si="588"/>
        <v>7.5384782688527857E-2</v>
      </c>
    </row>
    <row r="3604" spans="27:29">
      <c r="AA3604" s="50">
        <v>320.10000000000002</v>
      </c>
      <c r="AB3604" s="51">
        <v>84.025999999999996</v>
      </c>
      <c r="AC3604" s="52">
        <f t="shared" si="588"/>
        <v>7.558631025512158E-2</v>
      </c>
    </row>
    <row r="3605" spans="27:29">
      <c r="AA3605" s="50">
        <v>320</v>
      </c>
      <c r="AB3605" s="51">
        <v>83.971000000000004</v>
      </c>
      <c r="AC3605" s="52">
        <f t="shared" si="588"/>
        <v>7.5870674825418288E-2</v>
      </c>
    </row>
    <row r="3606" spans="27:29">
      <c r="AA3606" s="50">
        <v>319.89999999999998</v>
      </c>
      <c r="AB3606" s="51">
        <v>83.777000000000001</v>
      </c>
      <c r="AC3606" s="52">
        <f t="shared" si="588"/>
        <v>7.6875195499902405E-2</v>
      </c>
    </row>
    <row r="3607" spans="27:29">
      <c r="AA3607" s="50">
        <v>319.8</v>
      </c>
      <c r="AB3607" s="51">
        <v>83.754999999999995</v>
      </c>
      <c r="AC3607" s="52">
        <f t="shared" si="588"/>
        <v>7.6989257036287062E-2</v>
      </c>
    </row>
    <row r="3608" spans="27:29">
      <c r="AA3608" s="50">
        <v>319.7</v>
      </c>
      <c r="AB3608" s="51">
        <v>83.917000000000002</v>
      </c>
      <c r="AC3608" s="52">
        <f t="shared" si="588"/>
        <v>7.6150050395220922E-2</v>
      </c>
    </row>
    <row r="3609" spans="27:29">
      <c r="AA3609" s="50">
        <v>319.60000000000002</v>
      </c>
      <c r="AB3609" s="51">
        <v>84.01</v>
      </c>
      <c r="AC3609" s="52">
        <f t="shared" si="588"/>
        <v>7.5669015291321556E-2</v>
      </c>
    </row>
    <row r="3610" spans="27:29">
      <c r="AA3610" s="50">
        <v>319.5</v>
      </c>
      <c r="AB3610" s="51">
        <v>83.953999999999994</v>
      </c>
      <c r="AC3610" s="52">
        <f t="shared" si="588"/>
        <v>7.5958607012020424E-2</v>
      </c>
    </row>
    <row r="3611" spans="27:29">
      <c r="AA3611" s="50">
        <v>319.39999999999998</v>
      </c>
      <c r="AB3611" s="51">
        <v>83.87</v>
      </c>
      <c r="AC3611" s="52">
        <f t="shared" si="588"/>
        <v>7.6393356982540878E-2</v>
      </c>
    </row>
    <row r="3612" spans="27:29">
      <c r="AA3612" s="50">
        <v>319.3</v>
      </c>
      <c r="AB3612" s="51">
        <v>83.575999999999993</v>
      </c>
      <c r="AC3612" s="52">
        <f t="shared" si="588"/>
        <v>7.7918418302445142E-2</v>
      </c>
    </row>
    <row r="3613" spans="27:29">
      <c r="AA3613" s="50">
        <v>319.2</v>
      </c>
      <c r="AB3613" s="51">
        <v>83.632000000000005</v>
      </c>
      <c r="AC3613" s="52">
        <f t="shared" si="588"/>
        <v>7.762751724632462E-2</v>
      </c>
    </row>
    <row r="3614" spans="27:29">
      <c r="AA3614" s="50">
        <v>319.10000000000002</v>
      </c>
      <c r="AB3614" s="51">
        <v>83.679000000000002</v>
      </c>
      <c r="AC3614" s="52">
        <f t="shared" si="588"/>
        <v>7.7383518451429253E-2</v>
      </c>
    </row>
    <row r="3615" spans="27:29">
      <c r="AA3615" s="50">
        <v>319</v>
      </c>
      <c r="AB3615" s="51">
        <v>83.674000000000007</v>
      </c>
      <c r="AC3615" s="52">
        <f t="shared" si="588"/>
        <v>7.740946925494234E-2</v>
      </c>
    </row>
    <row r="3616" spans="27:29">
      <c r="AA3616" s="50">
        <v>318.89999999999998</v>
      </c>
      <c r="AB3616" s="51">
        <v>83.727999999999994</v>
      </c>
      <c r="AC3616" s="52">
        <f t="shared" si="588"/>
        <v>7.7129282604410015E-2</v>
      </c>
    </row>
    <row r="3617" spans="27:29">
      <c r="AA3617" s="50">
        <v>318.8</v>
      </c>
      <c r="AB3617" s="51">
        <v>83.504000000000005</v>
      </c>
      <c r="AC3617" s="52">
        <f t="shared" si="588"/>
        <v>7.8292720488614798E-2</v>
      </c>
    </row>
    <row r="3618" spans="27:29">
      <c r="AA3618" s="50">
        <v>318.7</v>
      </c>
      <c r="AB3618" s="51">
        <v>83.569000000000003</v>
      </c>
      <c r="AC3618" s="52">
        <f t="shared" si="588"/>
        <v>7.7954794638860778E-2</v>
      </c>
    </row>
    <row r="3619" spans="27:29">
      <c r="AA3619" s="50">
        <v>318.60000000000002</v>
      </c>
      <c r="AB3619" s="51">
        <v>83.558999999999997</v>
      </c>
      <c r="AC3619" s="52">
        <f t="shared" si="588"/>
        <v>7.8006766119692469E-2</v>
      </c>
    </row>
    <row r="3620" spans="27:29">
      <c r="AA3620" s="50">
        <v>318.5</v>
      </c>
      <c r="AB3620" s="51">
        <v>83.587000000000003</v>
      </c>
      <c r="AC3620" s="52">
        <f t="shared" si="588"/>
        <v>7.7861261643282123E-2</v>
      </c>
    </row>
    <row r="3621" spans="27:29">
      <c r="AA3621" s="50">
        <v>318.39999999999998</v>
      </c>
      <c r="AB3621" s="51">
        <v>83.587000000000003</v>
      </c>
      <c r="AC3621" s="52">
        <f t="shared" si="588"/>
        <v>7.7861261643282123E-2</v>
      </c>
    </row>
    <row r="3622" spans="27:29">
      <c r="AA3622" s="50">
        <v>318.3</v>
      </c>
      <c r="AB3622" s="51">
        <v>83.537000000000006</v>
      </c>
      <c r="AC3622" s="52">
        <f t="shared" si="588"/>
        <v>7.812112527439484E-2</v>
      </c>
    </row>
    <row r="3623" spans="27:29">
      <c r="AA3623" s="50">
        <v>318.2</v>
      </c>
      <c r="AB3623" s="51">
        <v>83.385999999999996</v>
      </c>
      <c r="AC3623" s="52">
        <f t="shared" si="588"/>
        <v>7.890685863235504E-2</v>
      </c>
    </row>
    <row r="3624" spans="27:29">
      <c r="AA3624" s="50">
        <v>318.10000000000002</v>
      </c>
      <c r="AB3624" s="51">
        <v>83.263000000000005</v>
      </c>
      <c r="AC3624" s="52">
        <f t="shared" si="588"/>
        <v>7.9547945359237579E-2</v>
      </c>
    </row>
    <row r="3625" spans="27:29">
      <c r="AA3625" s="50">
        <v>318</v>
      </c>
      <c r="AB3625" s="51">
        <v>83.323999999999998</v>
      </c>
      <c r="AC3625" s="52">
        <f t="shared" si="588"/>
        <v>7.9229889753696395E-2</v>
      </c>
    </row>
    <row r="3626" spans="27:29">
      <c r="AA3626" s="50">
        <v>317.89999999999998</v>
      </c>
      <c r="AB3626" s="51">
        <v>83.191999999999993</v>
      </c>
      <c r="AC3626" s="52">
        <f t="shared" si="588"/>
        <v>7.9918434801851526E-2</v>
      </c>
    </row>
    <row r="3627" spans="27:29">
      <c r="AA3627" s="50">
        <v>317.8</v>
      </c>
      <c r="AB3627" s="51">
        <v>83.168000000000006</v>
      </c>
      <c r="AC3627" s="52">
        <f t="shared" si="588"/>
        <v>8.0043742179081376E-2</v>
      </c>
    </row>
    <row r="3628" spans="27:29">
      <c r="AA3628" s="50">
        <v>317.7</v>
      </c>
      <c r="AB3628" s="51">
        <v>83.179000000000002</v>
      </c>
      <c r="AC3628" s="52">
        <f t="shared" si="588"/>
        <v>7.9986305143151706E-2</v>
      </c>
    </row>
    <row r="3629" spans="27:29">
      <c r="AA3629" s="50">
        <v>317.60000000000002</v>
      </c>
      <c r="AB3629" s="51">
        <v>83.135000000000005</v>
      </c>
      <c r="AC3629" s="52">
        <f t="shared" si="588"/>
        <v>8.0216098878490488E-2</v>
      </c>
    </row>
    <row r="3630" spans="27:29">
      <c r="AA3630" s="50">
        <v>317.5</v>
      </c>
      <c r="AB3630" s="51">
        <v>83.146000000000001</v>
      </c>
      <c r="AC3630" s="52">
        <f t="shared" si="588"/>
        <v>8.0158639044740368E-2</v>
      </c>
    </row>
    <row r="3631" spans="27:29">
      <c r="AA3631" s="50">
        <v>317.39999999999998</v>
      </c>
      <c r="AB3631" s="51">
        <v>83.173000000000002</v>
      </c>
      <c r="AC3631" s="52">
        <f t="shared" si="588"/>
        <v>8.0017633493788334E-2</v>
      </c>
    </row>
    <row r="3632" spans="27:29">
      <c r="AA3632" s="50">
        <v>317.3</v>
      </c>
      <c r="AB3632" s="51">
        <v>83.19</v>
      </c>
      <c r="AC3632" s="52">
        <f t="shared" si="588"/>
        <v>7.9928875702475921E-2</v>
      </c>
    </row>
    <row r="3633" spans="27:29">
      <c r="AA3633" s="50">
        <v>317.2</v>
      </c>
      <c r="AB3633" s="51">
        <v>82.957999999999998</v>
      </c>
      <c r="AC3633" s="52">
        <f t="shared" si="588"/>
        <v>8.1141726718267485E-2</v>
      </c>
    </row>
    <row r="3634" spans="27:29">
      <c r="AA3634" s="50">
        <v>317.10000000000002</v>
      </c>
      <c r="AB3634" s="51">
        <v>82.897999999999996</v>
      </c>
      <c r="AC3634" s="52">
        <f t="shared" si="588"/>
        <v>8.1455947126946329E-2</v>
      </c>
    </row>
    <row r="3635" spans="27:29">
      <c r="AA3635" s="50">
        <v>317</v>
      </c>
      <c r="AB3635" s="51">
        <v>82.951999999999998</v>
      </c>
      <c r="AC3635" s="52">
        <f t="shared" si="588"/>
        <v>8.1173138530606134E-2</v>
      </c>
    </row>
    <row r="3636" spans="27:29">
      <c r="AA3636" s="50">
        <v>316.89999999999998</v>
      </c>
      <c r="AB3636" s="51">
        <v>82.938999999999993</v>
      </c>
      <c r="AC3636" s="52">
        <f t="shared" si="588"/>
        <v>8.1241205252445214E-2</v>
      </c>
    </row>
    <row r="3637" spans="27:29">
      <c r="AA3637" s="50">
        <v>316.8</v>
      </c>
      <c r="AB3637" s="51">
        <v>82.894000000000005</v>
      </c>
      <c r="AC3637" s="52">
        <f t="shared" si="588"/>
        <v>8.1476903239761755E-2</v>
      </c>
    </row>
    <row r="3638" spans="27:29">
      <c r="AA3638" s="50">
        <v>316.7</v>
      </c>
      <c r="AB3638" s="51">
        <v>82.756</v>
      </c>
      <c r="AC3638" s="52">
        <f t="shared" si="588"/>
        <v>8.2200509063698718E-2</v>
      </c>
    </row>
    <row r="3639" spans="27:29">
      <c r="AA3639" s="50">
        <v>316.60000000000002</v>
      </c>
      <c r="AB3639" s="51">
        <v>82.64</v>
      </c>
      <c r="AC3639" s="52">
        <f t="shared" si="588"/>
        <v>8.2809691488435824E-2</v>
      </c>
    </row>
    <row r="3640" spans="27:29">
      <c r="AA3640" s="50">
        <v>316.5</v>
      </c>
      <c r="AB3640" s="51">
        <v>82.653999999999996</v>
      </c>
      <c r="AC3640" s="52">
        <f t="shared" si="588"/>
        <v>8.2736124114409171E-2</v>
      </c>
    </row>
    <row r="3641" spans="27:29">
      <c r="AA3641" s="50">
        <v>316.39999999999998</v>
      </c>
      <c r="AB3641" s="51">
        <v>82.825999999999993</v>
      </c>
      <c r="AC3641" s="52">
        <f t="shared" si="588"/>
        <v>8.1833311958406152E-2</v>
      </c>
    </row>
    <row r="3642" spans="27:29">
      <c r="AA3642" s="50">
        <v>316.3</v>
      </c>
      <c r="AB3642" s="51">
        <v>82.817999999999998</v>
      </c>
      <c r="AC3642" s="52">
        <f t="shared" si="588"/>
        <v>8.1875261631897747E-2</v>
      </c>
    </row>
    <row r="3643" spans="27:29">
      <c r="AA3643" s="50">
        <v>316.2</v>
      </c>
      <c r="AB3643" s="51">
        <v>82.724999999999994</v>
      </c>
      <c r="AC3643" s="52">
        <f t="shared" si="588"/>
        <v>8.2363224168109386E-2</v>
      </c>
    </row>
    <row r="3644" spans="27:29">
      <c r="AA3644" s="50">
        <v>316.10000000000002</v>
      </c>
      <c r="AB3644" s="51">
        <v>82.576999999999998</v>
      </c>
      <c r="AC3644" s="52">
        <f t="shared" si="588"/>
        <v>8.3140898975389371E-2</v>
      </c>
    </row>
    <row r="3645" spans="27:29">
      <c r="AA3645" s="50">
        <v>316</v>
      </c>
      <c r="AB3645" s="51">
        <v>82.477000000000004</v>
      </c>
      <c r="AC3645" s="52">
        <f t="shared" si="588"/>
        <v>8.3667144367857257E-2</v>
      </c>
    </row>
    <row r="3646" spans="27:29">
      <c r="AA3646" s="50">
        <v>315.89999999999998</v>
      </c>
      <c r="AB3646" s="51">
        <v>82.531000000000006</v>
      </c>
      <c r="AC3646" s="52">
        <f t="shared" si="588"/>
        <v>8.3382892660546215E-2</v>
      </c>
    </row>
    <row r="3647" spans="27:29">
      <c r="AA3647" s="50">
        <v>315.8</v>
      </c>
      <c r="AB3647" s="51">
        <v>82.521000000000001</v>
      </c>
      <c r="AC3647" s="52">
        <f t="shared" si="588"/>
        <v>8.3435517831090669E-2</v>
      </c>
    </row>
    <row r="3648" spans="27:29">
      <c r="AA3648" s="50">
        <v>315.7</v>
      </c>
      <c r="AB3648" s="51">
        <v>82.406000000000006</v>
      </c>
      <c r="AC3648" s="52">
        <f t="shared" si="588"/>
        <v>8.4041166069560524E-2</v>
      </c>
    </row>
    <row r="3649" spans="27:29">
      <c r="AA3649" s="50">
        <v>315.60000000000002</v>
      </c>
      <c r="AB3649" s="51">
        <v>82.378</v>
      </c>
      <c r="AC3649" s="52">
        <f t="shared" si="588"/>
        <v>8.4188756194940734E-2</v>
      </c>
    </row>
    <row r="3650" spans="27:29">
      <c r="AA3650" s="50">
        <v>315.5</v>
      </c>
      <c r="AB3650" s="51">
        <v>82.3</v>
      </c>
      <c r="AC3650" s="52">
        <f t="shared" si="588"/>
        <v>8.4600164787730178E-2</v>
      </c>
    </row>
    <row r="3651" spans="27:29">
      <c r="AA3651" s="50">
        <v>315.39999999999998</v>
      </c>
      <c r="AB3651" s="51">
        <v>82.314999999999998</v>
      </c>
      <c r="AC3651" s="52">
        <f t="shared" si="588"/>
        <v>8.4521017477380847E-2</v>
      </c>
    </row>
    <row r="3652" spans="27:29">
      <c r="AA3652" s="50">
        <v>315.3</v>
      </c>
      <c r="AB3652" s="51">
        <v>82.290999999999997</v>
      </c>
      <c r="AC3652" s="52">
        <f t="shared" si="588"/>
        <v>8.4647660098421854E-2</v>
      </c>
    </row>
    <row r="3653" spans="27:29">
      <c r="AA3653" s="50">
        <v>315.2</v>
      </c>
      <c r="AB3653" s="51">
        <v>82.278999999999996</v>
      </c>
      <c r="AC3653" s="52">
        <f t="shared" si="588"/>
        <v>8.4710995260262725E-2</v>
      </c>
    </row>
    <row r="3654" spans="27:29">
      <c r="AA3654" s="50">
        <v>315.10000000000002</v>
      </c>
      <c r="AB3654" s="51">
        <v>82.259</v>
      </c>
      <c r="AC3654" s="52">
        <f t="shared" si="588"/>
        <v>8.48165743931176E-2</v>
      </c>
    </row>
    <row r="3655" spans="27:29">
      <c r="AA3655" s="50">
        <v>315</v>
      </c>
      <c r="AB3655" s="51">
        <v>82.209000000000003</v>
      </c>
      <c r="AC3655" s="52">
        <f t="shared" si="588"/>
        <v>8.5080634572169328E-2</v>
      </c>
    </row>
    <row r="3656" spans="27:29">
      <c r="AA3656" s="50">
        <v>314.89999999999998</v>
      </c>
      <c r="AB3656" s="51">
        <v>82.168000000000006</v>
      </c>
      <c r="AC3656" s="52">
        <f t="shared" si="588"/>
        <v>8.5297283788632577E-2</v>
      </c>
    </row>
    <row r="3657" spans="27:29">
      <c r="AA3657" s="50">
        <v>314.8</v>
      </c>
      <c r="AB3657" s="51">
        <v>82.02</v>
      </c>
      <c r="AC3657" s="52">
        <f t="shared" si="588"/>
        <v>8.6080235048534126E-2</v>
      </c>
    </row>
    <row r="3658" spans="27:29">
      <c r="AA3658" s="50">
        <v>314.7</v>
      </c>
      <c r="AB3658" s="51">
        <v>82.009</v>
      </c>
      <c r="AC3658" s="52">
        <f t="shared" ref="AC3658:AC3721" si="589">-LOG(AB3658/100)</f>
        <v>8.6138483764408691E-2</v>
      </c>
    </row>
    <row r="3659" spans="27:29">
      <c r="AA3659" s="50">
        <v>314.60000000000002</v>
      </c>
      <c r="AB3659" s="51">
        <v>81.96</v>
      </c>
      <c r="AC3659" s="52">
        <f t="shared" si="589"/>
        <v>8.6398050270842672E-2</v>
      </c>
    </row>
    <row r="3660" spans="27:29">
      <c r="AA3660" s="50">
        <v>314.5</v>
      </c>
      <c r="AB3660" s="51">
        <v>81.977000000000004</v>
      </c>
      <c r="AC3660" s="52">
        <f t="shared" si="589"/>
        <v>8.6307979009091818E-2</v>
      </c>
    </row>
    <row r="3661" spans="27:29">
      <c r="AA3661" s="50">
        <v>314.39999999999998</v>
      </c>
      <c r="AB3661" s="51">
        <v>81.843999999999994</v>
      </c>
      <c r="AC3661" s="52">
        <f t="shared" si="589"/>
        <v>8.7013153300344384E-2</v>
      </c>
    </row>
    <row r="3662" spans="27:29">
      <c r="AA3662" s="50">
        <v>314.3</v>
      </c>
      <c r="AB3662" s="51">
        <v>81.816000000000003</v>
      </c>
      <c r="AC3662" s="52">
        <f t="shared" si="589"/>
        <v>8.7161757059502812E-2</v>
      </c>
    </row>
    <row r="3663" spans="27:29">
      <c r="AA3663" s="50">
        <v>314.2</v>
      </c>
      <c r="AB3663" s="51">
        <v>81.843000000000004</v>
      </c>
      <c r="AC3663" s="52">
        <f t="shared" si="589"/>
        <v>8.7018459701975623E-2</v>
      </c>
    </row>
    <row r="3664" spans="27:29">
      <c r="AA3664" s="50">
        <v>314.10000000000002</v>
      </c>
      <c r="AB3664" s="51">
        <v>81.876999999999995</v>
      </c>
      <c r="AC3664" s="52">
        <f t="shared" si="589"/>
        <v>8.6838078409561939E-2</v>
      </c>
    </row>
    <row r="3665" spans="27:29">
      <c r="AA3665" s="50">
        <v>314</v>
      </c>
      <c r="AB3665" s="51">
        <v>81.819000000000003</v>
      </c>
      <c r="AC3665" s="52">
        <f t="shared" si="589"/>
        <v>8.7145832795795727E-2</v>
      </c>
    </row>
    <row r="3666" spans="27:29">
      <c r="AA3666" s="50">
        <v>313.89999999999998</v>
      </c>
      <c r="AB3666" s="51">
        <v>81.682000000000002</v>
      </c>
      <c r="AC3666" s="52">
        <f t="shared" si="589"/>
        <v>8.7873637004276278E-2</v>
      </c>
    </row>
    <row r="3667" spans="27:29">
      <c r="AA3667" s="50">
        <v>313.8</v>
      </c>
      <c r="AB3667" s="51">
        <v>81.590999999999994</v>
      </c>
      <c r="AC3667" s="52">
        <f t="shared" si="589"/>
        <v>8.8357744014564754E-2</v>
      </c>
    </row>
    <row r="3668" spans="27:29">
      <c r="AA3668" s="50">
        <v>313.7</v>
      </c>
      <c r="AB3668" s="51">
        <v>81.614000000000004</v>
      </c>
      <c r="AC3668" s="52">
        <f t="shared" si="589"/>
        <v>8.823533632913956E-2</v>
      </c>
    </row>
    <row r="3669" spans="27:29">
      <c r="AA3669" s="50">
        <v>313.60000000000002</v>
      </c>
      <c r="AB3669" s="51">
        <v>81.578999999999994</v>
      </c>
      <c r="AC3669" s="52">
        <f t="shared" si="589"/>
        <v>8.8421622592639582E-2</v>
      </c>
    </row>
    <row r="3670" spans="27:29">
      <c r="AA3670" s="50">
        <v>313.5</v>
      </c>
      <c r="AB3670" s="51">
        <v>81.48</v>
      </c>
      <c r="AC3670" s="52">
        <f t="shared" si="589"/>
        <v>8.8948979671873443E-2</v>
      </c>
    </row>
    <row r="3671" spans="27:29">
      <c r="AA3671" s="50">
        <v>313.39999999999998</v>
      </c>
      <c r="AB3671" s="51">
        <v>81.492999999999995</v>
      </c>
      <c r="AC3671" s="52">
        <f t="shared" si="589"/>
        <v>8.8879694228558168E-2</v>
      </c>
    </row>
    <row r="3672" spans="27:29">
      <c r="AA3672" s="50">
        <v>313.3</v>
      </c>
      <c r="AB3672" s="51">
        <v>81.409000000000006</v>
      </c>
      <c r="AC3672" s="52">
        <f t="shared" si="589"/>
        <v>8.9327579947741265E-2</v>
      </c>
    </row>
    <row r="3673" spans="27:29">
      <c r="AA3673" s="50">
        <v>313.2</v>
      </c>
      <c r="AB3673" s="51">
        <v>81.379000000000005</v>
      </c>
      <c r="AC3673" s="52">
        <f t="shared" si="589"/>
        <v>8.9487651139777497E-2</v>
      </c>
    </row>
    <row r="3674" spans="27:29">
      <c r="AA3674" s="50">
        <v>313.10000000000002</v>
      </c>
      <c r="AB3674" s="51">
        <v>81.397000000000006</v>
      </c>
      <c r="AC3674" s="52">
        <f t="shared" si="589"/>
        <v>8.9391601344892185E-2</v>
      </c>
    </row>
    <row r="3675" spans="27:29">
      <c r="AA3675" s="50">
        <v>313</v>
      </c>
      <c r="AB3675" s="51">
        <v>81.37</v>
      </c>
      <c r="AC3675" s="52">
        <f t="shared" si="589"/>
        <v>8.9535684004386315E-2</v>
      </c>
    </row>
    <row r="3676" spans="27:29">
      <c r="AA3676" s="50">
        <v>312.89999999999998</v>
      </c>
      <c r="AB3676" s="51">
        <v>81.260999999999996</v>
      </c>
      <c r="AC3676" s="52">
        <f t="shared" si="589"/>
        <v>9.0117837537423209E-2</v>
      </c>
    </row>
    <row r="3677" spans="27:29">
      <c r="AA3677" s="50">
        <v>312.8</v>
      </c>
      <c r="AB3677" s="51">
        <v>81.218000000000004</v>
      </c>
      <c r="AC3677" s="52">
        <f t="shared" si="589"/>
        <v>9.0347709252018016E-2</v>
      </c>
    </row>
    <row r="3678" spans="27:29">
      <c r="AA3678" s="50">
        <v>312.7</v>
      </c>
      <c r="AB3678" s="51">
        <v>81.186000000000007</v>
      </c>
      <c r="AC3678" s="52">
        <f t="shared" si="589"/>
        <v>9.0518855573546511E-2</v>
      </c>
    </row>
    <row r="3679" spans="27:29">
      <c r="AA3679" s="50">
        <v>312.60000000000002</v>
      </c>
      <c r="AB3679" s="51">
        <v>81.102999999999994</v>
      </c>
      <c r="AC3679" s="52">
        <f t="shared" si="589"/>
        <v>9.0963080938676527E-2</v>
      </c>
    </row>
    <row r="3680" spans="27:29">
      <c r="AA3680" s="50">
        <v>312.5</v>
      </c>
      <c r="AB3680" s="51">
        <v>80.977000000000004</v>
      </c>
      <c r="AC3680" s="52">
        <f t="shared" si="589"/>
        <v>9.163831681902225E-2</v>
      </c>
    </row>
    <row r="3681" spans="27:29">
      <c r="AA3681" s="50">
        <v>312.39999999999998</v>
      </c>
      <c r="AB3681" s="51">
        <v>80.994</v>
      </c>
      <c r="AC3681" s="52">
        <f t="shared" si="589"/>
        <v>9.1547152274511615E-2</v>
      </c>
    </row>
    <row r="3682" spans="27:29">
      <c r="AA3682" s="50">
        <v>312.3</v>
      </c>
      <c r="AB3682" s="51">
        <v>81.004999999999995</v>
      </c>
      <c r="AC3682" s="52">
        <f t="shared" si="589"/>
        <v>9.1488173647380891E-2</v>
      </c>
    </row>
    <row r="3683" spans="27:29">
      <c r="AA3683" s="50">
        <v>312.2</v>
      </c>
      <c r="AB3683" s="51">
        <v>81.007999999999996</v>
      </c>
      <c r="AC3683" s="52">
        <f t="shared" si="589"/>
        <v>9.1472089957234326E-2</v>
      </c>
    </row>
    <row r="3684" spans="27:29">
      <c r="AA3684" s="50">
        <v>312.10000000000002</v>
      </c>
      <c r="AB3684" s="51">
        <v>80.965000000000003</v>
      </c>
      <c r="AC3684" s="52">
        <f t="shared" si="589"/>
        <v>9.17026797859163E-2</v>
      </c>
    </row>
    <row r="3685" spans="27:29">
      <c r="AA3685" s="50">
        <v>312</v>
      </c>
      <c r="AB3685" s="51">
        <v>80.867999999999995</v>
      </c>
      <c r="AC3685" s="52">
        <f t="shared" si="589"/>
        <v>9.2223297580672867E-2</v>
      </c>
    </row>
    <row r="3686" spans="27:29">
      <c r="AA3686" s="50">
        <v>311.89999999999998</v>
      </c>
      <c r="AB3686" s="51">
        <v>80.757999999999996</v>
      </c>
      <c r="AC3686" s="52">
        <f t="shared" si="589"/>
        <v>9.2814445049339056E-2</v>
      </c>
    </row>
    <row r="3687" spans="27:29">
      <c r="AA3687" s="50">
        <v>311.8</v>
      </c>
      <c r="AB3687" s="51">
        <v>80.682000000000002</v>
      </c>
      <c r="AC3687" s="52">
        <f t="shared" si="589"/>
        <v>9.3223344740405889E-2</v>
      </c>
    </row>
    <row r="3688" spans="27:29">
      <c r="AA3688" s="50">
        <v>311.7</v>
      </c>
      <c r="AB3688" s="51">
        <v>80.688999999999993</v>
      </c>
      <c r="AC3688" s="52">
        <f t="shared" si="589"/>
        <v>9.3185666825845961E-2</v>
      </c>
    </row>
    <row r="3689" spans="27:29">
      <c r="AA3689" s="50">
        <v>311.60000000000002</v>
      </c>
      <c r="AB3689" s="51">
        <v>80.626999999999995</v>
      </c>
      <c r="AC3689" s="52">
        <f t="shared" si="589"/>
        <v>9.3519499293844371E-2</v>
      </c>
    </row>
    <row r="3690" spans="27:29">
      <c r="AA3690" s="50">
        <v>311.5</v>
      </c>
      <c r="AB3690" s="51">
        <v>80.64</v>
      </c>
      <c r="AC3690" s="52">
        <f t="shared" si="589"/>
        <v>9.344948089854993E-2</v>
      </c>
    </row>
    <row r="3691" spans="27:29">
      <c r="AA3691" s="50">
        <v>311.39999999999998</v>
      </c>
      <c r="AB3691" s="51">
        <v>80.596000000000004</v>
      </c>
      <c r="AC3691" s="52">
        <f t="shared" si="589"/>
        <v>9.36865118057678E-2</v>
      </c>
    </row>
    <row r="3692" spans="27:29">
      <c r="AA3692" s="50">
        <v>311.3</v>
      </c>
      <c r="AB3692" s="51">
        <v>80.463999999999999</v>
      </c>
      <c r="AC3692" s="52">
        <f t="shared" si="589"/>
        <v>9.43983817231481E-2</v>
      </c>
    </row>
    <row r="3693" spans="27:29">
      <c r="AA3693" s="50">
        <v>311.2</v>
      </c>
      <c r="AB3693" s="51">
        <v>80.430999999999997</v>
      </c>
      <c r="AC3693" s="52">
        <f t="shared" si="589"/>
        <v>9.4576531673162392E-2</v>
      </c>
    </row>
    <row r="3694" spans="27:29">
      <c r="AA3694" s="50">
        <v>311.10000000000002</v>
      </c>
      <c r="AB3694" s="51">
        <v>80.462999999999994</v>
      </c>
      <c r="AC3694" s="52">
        <f t="shared" si="589"/>
        <v>9.4403779132929078E-2</v>
      </c>
    </row>
    <row r="3695" spans="27:29">
      <c r="AA3695" s="50">
        <v>311</v>
      </c>
      <c r="AB3695" s="51">
        <v>80.518000000000001</v>
      </c>
      <c r="AC3695" s="52">
        <f t="shared" si="589"/>
        <v>9.4107021162310442E-2</v>
      </c>
    </row>
    <row r="3696" spans="27:29">
      <c r="AA3696" s="50">
        <v>310.89999999999998</v>
      </c>
      <c r="AB3696" s="51">
        <v>80.364000000000004</v>
      </c>
      <c r="AC3696" s="52">
        <f t="shared" si="589"/>
        <v>9.4938455016195647E-2</v>
      </c>
    </row>
    <row r="3697" spans="27:29">
      <c r="AA3697" s="50">
        <v>310.8</v>
      </c>
      <c r="AB3697" s="51">
        <v>80.254000000000005</v>
      </c>
      <c r="AC3697" s="52">
        <f t="shared" si="589"/>
        <v>9.5533312385583782E-2</v>
      </c>
    </row>
    <row r="3698" spans="27:29">
      <c r="AA3698" s="50">
        <v>310.7</v>
      </c>
      <c r="AB3698" s="51">
        <v>80.096999999999994</v>
      </c>
      <c r="AC3698" s="52">
        <f t="shared" si="589"/>
        <v>9.6383749931303997E-2</v>
      </c>
    </row>
    <row r="3699" spans="27:29">
      <c r="AA3699" s="50">
        <v>310.60000000000002</v>
      </c>
      <c r="AB3699" s="51">
        <v>79.975999999999999</v>
      </c>
      <c r="AC3699" s="52">
        <f t="shared" si="589"/>
        <v>9.704032089978859E-2</v>
      </c>
    </row>
    <row r="3700" spans="27:29">
      <c r="AA3700" s="50">
        <v>310.5</v>
      </c>
      <c r="AB3700" s="51">
        <v>80.088999999999999</v>
      </c>
      <c r="AC3700" s="52">
        <f t="shared" si="589"/>
        <v>9.6427128951419527E-2</v>
      </c>
    </row>
    <row r="3701" spans="27:29">
      <c r="AA3701" s="50">
        <v>310.39999999999998</v>
      </c>
      <c r="AB3701" s="51">
        <v>80.155000000000001</v>
      </c>
      <c r="AC3701" s="52">
        <f t="shared" si="589"/>
        <v>9.6069381548378907E-2</v>
      </c>
    </row>
    <row r="3702" spans="27:29">
      <c r="AA3702" s="50">
        <v>310.3</v>
      </c>
      <c r="AB3702" s="51">
        <v>80.055000000000007</v>
      </c>
      <c r="AC3702" s="52">
        <f t="shared" si="589"/>
        <v>9.6611538140731229E-2</v>
      </c>
    </row>
    <row r="3703" spans="27:29">
      <c r="AA3703" s="50">
        <v>310.2</v>
      </c>
      <c r="AB3703" s="51">
        <v>79.953999999999994</v>
      </c>
      <c r="AC3703" s="52">
        <f t="shared" si="589"/>
        <v>9.7159804156990395E-2</v>
      </c>
    </row>
    <row r="3704" spans="27:29">
      <c r="AA3704" s="50">
        <v>310.10000000000002</v>
      </c>
      <c r="AB3704" s="51">
        <v>79.841999999999999</v>
      </c>
      <c r="AC3704" s="52">
        <f t="shared" si="589"/>
        <v>9.776859273665639E-2</v>
      </c>
    </row>
    <row r="3705" spans="27:29">
      <c r="AA3705" s="50">
        <v>310</v>
      </c>
      <c r="AB3705" s="51">
        <v>79.912000000000006</v>
      </c>
      <c r="AC3705" s="52">
        <f t="shared" si="589"/>
        <v>9.7387999879152601E-2</v>
      </c>
    </row>
    <row r="3706" spans="27:29">
      <c r="AA3706" s="50">
        <v>309.89999999999998</v>
      </c>
      <c r="AB3706" s="51">
        <v>79.88</v>
      </c>
      <c r="AC3706" s="52">
        <f t="shared" si="589"/>
        <v>9.7561943801335066E-2</v>
      </c>
    </row>
    <row r="3707" spans="27:29">
      <c r="AA3707" s="50">
        <v>309.8</v>
      </c>
      <c r="AB3707" s="51">
        <v>79.721000000000004</v>
      </c>
      <c r="AC3707" s="52">
        <f t="shared" si="589"/>
        <v>9.8427262257575393E-2</v>
      </c>
    </row>
    <row r="3708" spans="27:29">
      <c r="AA3708" s="50">
        <v>309.7</v>
      </c>
      <c r="AB3708" s="51">
        <v>79.623000000000005</v>
      </c>
      <c r="AC3708" s="52">
        <f t="shared" si="589"/>
        <v>9.8961463289214638E-2</v>
      </c>
    </row>
    <row r="3709" spans="27:29">
      <c r="AA3709" s="50">
        <v>309.60000000000002</v>
      </c>
      <c r="AB3709" s="51">
        <v>79.551000000000002</v>
      </c>
      <c r="AC3709" s="52">
        <f t="shared" si="589"/>
        <v>9.9354356661620499E-2</v>
      </c>
    </row>
    <row r="3710" spans="27:29">
      <c r="AA3710" s="50">
        <v>309.5</v>
      </c>
      <c r="AB3710" s="51">
        <v>79.501999999999995</v>
      </c>
      <c r="AC3710" s="52">
        <f t="shared" si="589"/>
        <v>9.9621945833613487E-2</v>
      </c>
    </row>
    <row r="3711" spans="27:29">
      <c r="AA3711" s="50">
        <v>309.39999999999998</v>
      </c>
      <c r="AB3711" s="51">
        <v>79.465000000000003</v>
      </c>
      <c r="AC3711" s="52">
        <f t="shared" si="589"/>
        <v>9.982411227218986E-2</v>
      </c>
    </row>
    <row r="3712" spans="27:29">
      <c r="AA3712" s="50">
        <v>309.3</v>
      </c>
      <c r="AB3712" s="51">
        <v>79.447999999999993</v>
      </c>
      <c r="AC3712" s="52">
        <f t="shared" si="589"/>
        <v>9.991703111735073E-2</v>
      </c>
    </row>
    <row r="3713" spans="27:29">
      <c r="AA3713" s="50">
        <v>309.2</v>
      </c>
      <c r="AB3713" s="51">
        <v>79.427999999999997</v>
      </c>
      <c r="AC3713" s="52">
        <f t="shared" si="589"/>
        <v>0.10002637286417146</v>
      </c>
    </row>
    <row r="3714" spans="27:29">
      <c r="AA3714" s="50">
        <v>309.10000000000002</v>
      </c>
      <c r="AB3714" s="51">
        <v>79.491</v>
      </c>
      <c r="AC3714" s="52">
        <f t="shared" si="589"/>
        <v>9.9682039539733314E-2</v>
      </c>
    </row>
    <row r="3715" spans="27:29">
      <c r="AA3715" s="50">
        <v>309</v>
      </c>
      <c r="AB3715" s="51">
        <v>79.289000000000001</v>
      </c>
      <c r="AC3715" s="52">
        <f t="shared" si="589"/>
        <v>0.10078705947515733</v>
      </c>
    </row>
    <row r="3716" spans="27:29">
      <c r="AA3716" s="50">
        <v>308.89999999999998</v>
      </c>
      <c r="AB3716" s="51">
        <v>79.3</v>
      </c>
      <c r="AC3716" s="52">
        <f t="shared" si="589"/>
        <v>0.10072681268239624</v>
      </c>
    </row>
    <row r="3717" spans="27:29">
      <c r="AA3717" s="50">
        <v>308.8</v>
      </c>
      <c r="AB3717" s="51">
        <v>79.213999999999999</v>
      </c>
      <c r="AC3717" s="52">
        <f t="shared" si="589"/>
        <v>0.10119805596826689</v>
      </c>
    </row>
    <row r="3718" spans="27:29">
      <c r="AA3718" s="50">
        <v>308.7</v>
      </c>
      <c r="AB3718" s="51">
        <v>79.209999999999994</v>
      </c>
      <c r="AC3718" s="52">
        <f t="shared" si="589"/>
        <v>0.10121998671017447</v>
      </c>
    </row>
    <row r="3719" spans="27:29">
      <c r="AA3719" s="50">
        <v>308.60000000000002</v>
      </c>
      <c r="AB3719" s="51">
        <v>79.25</v>
      </c>
      <c r="AC3719" s="52">
        <f t="shared" si="589"/>
        <v>0.10100072911021091</v>
      </c>
    </row>
    <row r="3720" spans="27:29">
      <c r="AA3720" s="50">
        <v>308.5</v>
      </c>
      <c r="AB3720" s="51">
        <v>79.119</v>
      </c>
      <c r="AC3720" s="52">
        <f t="shared" si="589"/>
        <v>0.10171921050625693</v>
      </c>
    </row>
    <row r="3721" spans="27:29">
      <c r="AA3721" s="50">
        <v>308.39999999999998</v>
      </c>
      <c r="AB3721" s="51">
        <v>78.960999999999999</v>
      </c>
      <c r="AC3721" s="52">
        <f t="shared" si="589"/>
        <v>0.1025873601898402</v>
      </c>
    </row>
    <row r="3722" spans="27:29">
      <c r="AA3722" s="50">
        <v>308.3</v>
      </c>
      <c r="AB3722" s="51">
        <v>78.81</v>
      </c>
      <c r="AC3722" s="52">
        <f t="shared" ref="AC3722:AC3785" si="590">-LOG(AB3722/100)</f>
        <v>0.10341867249426727</v>
      </c>
    </row>
    <row r="3723" spans="27:29">
      <c r="AA3723" s="50">
        <v>308.2</v>
      </c>
      <c r="AB3723" s="51">
        <v>78.816999999999993</v>
      </c>
      <c r="AC3723" s="52">
        <f t="shared" si="590"/>
        <v>0.1033800996434826</v>
      </c>
    </row>
    <row r="3724" spans="27:29">
      <c r="AA3724" s="50">
        <v>308.10000000000002</v>
      </c>
      <c r="AB3724" s="51">
        <v>78.813000000000002</v>
      </c>
      <c r="AC3724" s="52">
        <f t="shared" si="590"/>
        <v>0.10340214085299834</v>
      </c>
    </row>
    <row r="3725" spans="27:29">
      <c r="AA3725" s="50">
        <v>308</v>
      </c>
      <c r="AB3725" s="51">
        <v>78.828999999999994</v>
      </c>
      <c r="AC3725" s="52">
        <f t="shared" si="590"/>
        <v>0.10331398272592168</v>
      </c>
    </row>
    <row r="3726" spans="27:29">
      <c r="AA3726" s="50">
        <v>307.89999999999998</v>
      </c>
      <c r="AB3726" s="51">
        <v>78.736999999999995</v>
      </c>
      <c r="AC3726" s="52">
        <f t="shared" si="590"/>
        <v>0.10382113651386551</v>
      </c>
    </row>
    <row r="3727" spans="27:29">
      <c r="AA3727" s="50">
        <v>307.8</v>
      </c>
      <c r="AB3727" s="51">
        <v>78.694000000000003</v>
      </c>
      <c r="AC3727" s="52">
        <f t="shared" si="590"/>
        <v>0.10405837902882421</v>
      </c>
    </row>
    <row r="3728" spans="27:29">
      <c r="AA3728" s="50">
        <v>307.7</v>
      </c>
      <c r="AB3728" s="51">
        <v>78.646000000000001</v>
      </c>
      <c r="AC3728" s="52">
        <f t="shared" si="590"/>
        <v>0.10432336105218841</v>
      </c>
    </row>
    <row r="3729" spans="27:29">
      <c r="AA3729" s="50">
        <v>307.60000000000002</v>
      </c>
      <c r="AB3729" s="51">
        <v>78.552000000000007</v>
      </c>
      <c r="AC3729" s="52">
        <f t="shared" si="590"/>
        <v>0.1048427529803896</v>
      </c>
    </row>
    <row r="3730" spans="27:29">
      <c r="AA3730" s="50">
        <v>307.5</v>
      </c>
      <c r="AB3730" s="51">
        <v>78.504000000000005</v>
      </c>
      <c r="AC3730" s="52">
        <f t="shared" si="590"/>
        <v>0.1051082141634123</v>
      </c>
    </row>
    <row r="3731" spans="27:29">
      <c r="AA3731" s="50">
        <v>307.39999999999998</v>
      </c>
      <c r="AB3731" s="51">
        <v>78.474999999999994</v>
      </c>
      <c r="AC3731" s="52">
        <f t="shared" si="590"/>
        <v>0.10526867562791999</v>
      </c>
    </row>
    <row r="3732" spans="27:29">
      <c r="AA3732" s="50">
        <v>307.3</v>
      </c>
      <c r="AB3732" s="51">
        <v>78.394999999999996</v>
      </c>
      <c r="AC3732" s="52">
        <f t="shared" si="590"/>
        <v>0.10571163555096773</v>
      </c>
    </row>
    <row r="3733" spans="27:29">
      <c r="AA3733" s="50">
        <v>307.2</v>
      </c>
      <c r="AB3733" s="51">
        <v>78.337000000000003</v>
      </c>
      <c r="AC3733" s="52">
        <f t="shared" si="590"/>
        <v>0.10603306424581256</v>
      </c>
    </row>
    <row r="3734" spans="27:29">
      <c r="AA3734" s="50">
        <v>307.10000000000002</v>
      </c>
      <c r="AB3734" s="51">
        <v>78.239999999999995</v>
      </c>
      <c r="AC3734" s="52">
        <f t="shared" si="590"/>
        <v>0.10657115822045499</v>
      </c>
    </row>
    <row r="3735" spans="27:29">
      <c r="AA3735" s="50">
        <v>307</v>
      </c>
      <c r="AB3735" s="51">
        <v>78.108000000000004</v>
      </c>
      <c r="AC3735" s="52">
        <f t="shared" si="590"/>
        <v>0.10730448241049206</v>
      </c>
    </row>
    <row r="3736" spans="27:29">
      <c r="AA3736" s="50">
        <v>306.89999999999998</v>
      </c>
      <c r="AB3736" s="51">
        <v>78.114000000000004</v>
      </c>
      <c r="AC3736" s="52">
        <f t="shared" si="590"/>
        <v>0.10727112261619032</v>
      </c>
    </row>
    <row r="3737" spans="27:29">
      <c r="AA3737" s="50">
        <v>306.8</v>
      </c>
      <c r="AB3737" s="51">
        <v>78.09</v>
      </c>
      <c r="AC3737" s="52">
        <f t="shared" si="590"/>
        <v>0.10740457717110181</v>
      </c>
    </row>
    <row r="3738" spans="27:29">
      <c r="AA3738" s="50">
        <v>306.7</v>
      </c>
      <c r="AB3738" s="51">
        <v>78.17</v>
      </c>
      <c r="AC3738" s="52">
        <f t="shared" si="590"/>
        <v>0.10695988804288203</v>
      </c>
    </row>
    <row r="3739" spans="27:29">
      <c r="AA3739" s="50">
        <v>306.60000000000002</v>
      </c>
      <c r="AB3739" s="51">
        <v>78.063000000000002</v>
      </c>
      <c r="AC3739" s="52">
        <f t="shared" si="590"/>
        <v>0.10755476258064559</v>
      </c>
    </row>
    <row r="3740" spans="27:29">
      <c r="AA3740" s="50">
        <v>306.5</v>
      </c>
      <c r="AB3740" s="51">
        <v>77.798000000000002</v>
      </c>
      <c r="AC3740" s="52">
        <f t="shared" si="590"/>
        <v>0.1090315675363828</v>
      </c>
    </row>
    <row r="3741" spans="27:29">
      <c r="AA3741" s="50">
        <v>306.39999999999998</v>
      </c>
      <c r="AB3741" s="51">
        <v>77.745999999999995</v>
      </c>
      <c r="AC3741" s="52">
        <f t="shared" si="590"/>
        <v>0.1093219460003583</v>
      </c>
    </row>
    <row r="3742" spans="27:29">
      <c r="AA3742" s="50">
        <v>306.3</v>
      </c>
      <c r="AB3742" s="51">
        <v>77.641999999999996</v>
      </c>
      <c r="AC3742" s="52">
        <f t="shared" si="590"/>
        <v>0.10990328603771125</v>
      </c>
    </row>
    <row r="3743" spans="27:29">
      <c r="AA3743" s="50">
        <v>306.2</v>
      </c>
      <c r="AB3743" s="51">
        <v>77.739999999999995</v>
      </c>
      <c r="AC3743" s="52">
        <f t="shared" si="590"/>
        <v>0.1093554637047524</v>
      </c>
    </row>
    <row r="3744" spans="27:29">
      <c r="AA3744" s="50">
        <v>306.10000000000002</v>
      </c>
      <c r="AB3744" s="51">
        <v>77.661000000000001</v>
      </c>
      <c r="AC3744" s="52">
        <f t="shared" si="590"/>
        <v>0.10979702157150865</v>
      </c>
    </row>
    <row r="3745" spans="27:29">
      <c r="AA3745" s="50">
        <v>306</v>
      </c>
      <c r="AB3745" s="51">
        <v>77.596999999999994</v>
      </c>
      <c r="AC3745" s="52">
        <f t="shared" si="590"/>
        <v>0.11015506880148894</v>
      </c>
    </row>
    <row r="3746" spans="27:29">
      <c r="AA3746" s="50">
        <v>305.89999999999998</v>
      </c>
      <c r="AB3746" s="51">
        <v>77.474999999999994</v>
      </c>
      <c r="AC3746" s="52">
        <f t="shared" si="590"/>
        <v>0.11083841508867941</v>
      </c>
    </row>
    <row r="3747" spans="27:29">
      <c r="AA3747" s="50">
        <v>305.8</v>
      </c>
      <c r="AB3747" s="51">
        <v>77.483999999999995</v>
      </c>
      <c r="AC3747" s="52">
        <f t="shared" si="590"/>
        <v>0.11078796754653567</v>
      </c>
    </row>
    <row r="3748" spans="27:29">
      <c r="AA3748" s="50">
        <v>305.7</v>
      </c>
      <c r="AB3748" s="51">
        <v>77.406999999999996</v>
      </c>
      <c r="AC3748" s="52">
        <f t="shared" si="590"/>
        <v>0.1112197638143796</v>
      </c>
    </row>
    <row r="3749" spans="27:29">
      <c r="AA3749" s="50">
        <v>305.60000000000002</v>
      </c>
      <c r="AB3749" s="51">
        <v>77.394000000000005</v>
      </c>
      <c r="AC3749" s="52">
        <f t="shared" si="590"/>
        <v>0.11129270686097502</v>
      </c>
    </row>
    <row r="3750" spans="27:29">
      <c r="AA3750" s="50">
        <v>305.5</v>
      </c>
      <c r="AB3750" s="51">
        <v>77.432000000000002</v>
      </c>
      <c r="AC3750" s="52">
        <f t="shared" si="590"/>
        <v>0.11107952314966424</v>
      </c>
    </row>
    <row r="3751" spans="27:29">
      <c r="AA3751" s="50">
        <v>305.39999999999998</v>
      </c>
      <c r="AB3751" s="51">
        <v>77.25</v>
      </c>
      <c r="AC3751" s="52">
        <f t="shared" si="590"/>
        <v>0.11210151190312777</v>
      </c>
    </row>
    <row r="3752" spans="27:29">
      <c r="AA3752" s="50">
        <v>305.3</v>
      </c>
      <c r="AB3752" s="51">
        <v>77.09</v>
      </c>
      <c r="AC3752" s="52">
        <f t="shared" si="590"/>
        <v>0.1130019543289006</v>
      </c>
    </row>
    <row r="3753" spans="27:29">
      <c r="AA3753" s="50">
        <v>305.2</v>
      </c>
      <c r="AB3753" s="51">
        <v>76.951999999999998</v>
      </c>
      <c r="AC3753" s="52">
        <f t="shared" si="590"/>
        <v>0.11378008827335634</v>
      </c>
    </row>
    <row r="3754" spans="27:29">
      <c r="AA3754" s="50">
        <v>305.10000000000002</v>
      </c>
      <c r="AB3754" s="51">
        <v>77.013999999999996</v>
      </c>
      <c r="AC3754" s="52">
        <f t="shared" si="590"/>
        <v>0.11343031937199605</v>
      </c>
    </row>
    <row r="3755" spans="27:29">
      <c r="AA3755" s="50">
        <v>305</v>
      </c>
      <c r="AB3755" s="51">
        <v>76.977999999999994</v>
      </c>
      <c r="AC3755" s="52">
        <f t="shared" si="590"/>
        <v>0.11363337669488736</v>
      </c>
    </row>
    <row r="3756" spans="27:29">
      <c r="AA3756" s="50">
        <v>304.89999999999998</v>
      </c>
      <c r="AB3756" s="51">
        <v>77.022000000000006</v>
      </c>
      <c r="AC3756" s="52">
        <f t="shared" si="590"/>
        <v>0.11338520841276115</v>
      </c>
    </row>
    <row r="3757" spans="27:29">
      <c r="AA3757" s="50">
        <v>304.8</v>
      </c>
      <c r="AB3757" s="51">
        <v>76.905000000000001</v>
      </c>
      <c r="AC3757" s="52">
        <f t="shared" si="590"/>
        <v>0.11404542350391948</v>
      </c>
    </row>
    <row r="3758" spans="27:29">
      <c r="AA3758" s="50">
        <v>304.7</v>
      </c>
      <c r="AB3758" s="51">
        <v>76.713999999999999</v>
      </c>
      <c r="AC3758" s="52">
        <f t="shared" si="590"/>
        <v>0.11512537180181727</v>
      </c>
    </row>
    <row r="3759" spans="27:29">
      <c r="AA3759" s="50">
        <v>304.60000000000002</v>
      </c>
      <c r="AB3759" s="51">
        <v>76.697000000000003</v>
      </c>
      <c r="AC3759" s="52">
        <f t="shared" si="590"/>
        <v>0.11522162312959129</v>
      </c>
    </row>
    <row r="3760" spans="27:29">
      <c r="AA3760" s="50">
        <v>304.5</v>
      </c>
      <c r="AB3760" s="51">
        <v>76.757999999999996</v>
      </c>
      <c r="AC3760" s="52">
        <f t="shared" si="590"/>
        <v>0.11487634972968296</v>
      </c>
    </row>
    <row r="3761" spans="27:29">
      <c r="AA3761" s="50">
        <v>304.39999999999998</v>
      </c>
      <c r="AB3761" s="51">
        <v>76.828000000000003</v>
      </c>
      <c r="AC3761" s="52">
        <f t="shared" si="590"/>
        <v>0.11448047229504382</v>
      </c>
    </row>
    <row r="3762" spans="27:29">
      <c r="AA3762" s="50">
        <v>304.3</v>
      </c>
      <c r="AB3762" s="51">
        <v>76.659000000000006</v>
      </c>
      <c r="AC3762" s="52">
        <f t="shared" si="590"/>
        <v>0.115436850321877</v>
      </c>
    </row>
    <row r="3763" spans="27:29">
      <c r="AA3763" s="50">
        <v>304.2</v>
      </c>
      <c r="AB3763" s="51">
        <v>76.531999999999996</v>
      </c>
      <c r="AC3763" s="52">
        <f t="shared" si="590"/>
        <v>0.11615693716559064</v>
      </c>
    </row>
    <row r="3764" spans="27:29">
      <c r="AA3764" s="50">
        <v>304.10000000000002</v>
      </c>
      <c r="AB3764" s="51">
        <v>76.408000000000001</v>
      </c>
      <c r="AC3764" s="52">
        <f t="shared" si="590"/>
        <v>0.11686116794309967</v>
      </c>
    </row>
    <row r="3765" spans="27:29">
      <c r="AA3765" s="50">
        <v>304</v>
      </c>
      <c r="AB3765" s="51">
        <v>76.346000000000004</v>
      </c>
      <c r="AC3765" s="52">
        <f t="shared" si="590"/>
        <v>0.11721371202517421</v>
      </c>
    </row>
    <row r="3766" spans="27:29">
      <c r="AA3766" s="50">
        <v>303.89999999999998</v>
      </c>
      <c r="AB3766" s="51">
        <v>76.221999999999994</v>
      </c>
      <c r="AC3766" s="52">
        <f t="shared" si="590"/>
        <v>0.11791965989908924</v>
      </c>
    </row>
    <row r="3767" spans="27:29">
      <c r="AA3767" s="50">
        <v>303.8</v>
      </c>
      <c r="AB3767" s="51">
        <v>76.108999999999995</v>
      </c>
      <c r="AC3767" s="52">
        <f t="shared" si="590"/>
        <v>0.11856398423828103</v>
      </c>
    </row>
    <row r="3768" spans="27:29">
      <c r="AA3768" s="50">
        <v>303.7</v>
      </c>
      <c r="AB3768" s="51">
        <v>76.14</v>
      </c>
      <c r="AC3768" s="52">
        <f t="shared" si="590"/>
        <v>0.11838712752165161</v>
      </c>
    </row>
    <row r="3769" spans="27:29">
      <c r="AA3769" s="50">
        <v>303.60000000000002</v>
      </c>
      <c r="AB3769" s="51">
        <v>76.228999999999999</v>
      </c>
      <c r="AC3769" s="52">
        <f t="shared" si="590"/>
        <v>0.11787977742701015</v>
      </c>
    </row>
    <row r="3770" spans="27:29">
      <c r="AA3770" s="50">
        <v>303.5</v>
      </c>
      <c r="AB3770" s="51">
        <v>76.247</v>
      </c>
      <c r="AC3770" s="52">
        <f t="shared" si="590"/>
        <v>0.11777723931333231</v>
      </c>
    </row>
    <row r="3771" spans="27:29">
      <c r="AA3771" s="50">
        <v>303.39999999999998</v>
      </c>
      <c r="AB3771" s="51">
        <v>76.096000000000004</v>
      </c>
      <c r="AC3771" s="52">
        <f t="shared" si="590"/>
        <v>0.11863817139742121</v>
      </c>
    </row>
    <row r="3772" spans="27:29">
      <c r="AA3772" s="50">
        <v>303.3</v>
      </c>
      <c r="AB3772" s="51">
        <v>76.015000000000001</v>
      </c>
      <c r="AC3772" s="52">
        <f t="shared" si="590"/>
        <v>0.11910070016074809</v>
      </c>
    </row>
    <row r="3773" spans="27:29">
      <c r="AA3773" s="50">
        <v>303.2</v>
      </c>
      <c r="AB3773" s="51">
        <v>75.91</v>
      </c>
      <c r="AC3773" s="52">
        <f t="shared" si="590"/>
        <v>0.11970100857424741</v>
      </c>
    </row>
    <row r="3774" spans="27:29">
      <c r="AA3774" s="50">
        <v>303.10000000000002</v>
      </c>
      <c r="AB3774" s="51">
        <v>75.796000000000006</v>
      </c>
      <c r="AC3774" s="52">
        <f t="shared" si="590"/>
        <v>0.12035371288727431</v>
      </c>
    </row>
    <row r="3775" spans="27:29">
      <c r="AA3775" s="50">
        <v>303</v>
      </c>
      <c r="AB3775" s="51">
        <v>75.703999999999994</v>
      </c>
      <c r="AC3775" s="52">
        <f t="shared" si="590"/>
        <v>0.12088117291693057</v>
      </c>
    </row>
    <row r="3776" spans="27:29">
      <c r="AA3776" s="50">
        <v>302.89999999999998</v>
      </c>
      <c r="AB3776" s="51">
        <v>75.573999999999998</v>
      </c>
      <c r="AC3776" s="52">
        <f t="shared" si="590"/>
        <v>0.12162759072447804</v>
      </c>
    </row>
    <row r="3777" spans="27:29">
      <c r="AA3777" s="50">
        <v>302.8</v>
      </c>
      <c r="AB3777" s="51">
        <v>75.587000000000003</v>
      </c>
      <c r="AC3777" s="52">
        <f t="shared" si="590"/>
        <v>0.12155289118850429</v>
      </c>
    </row>
    <row r="3778" spans="27:29">
      <c r="AA3778" s="50">
        <v>302.7</v>
      </c>
      <c r="AB3778" s="51">
        <v>75.436999999999998</v>
      </c>
      <c r="AC3778" s="52">
        <f t="shared" si="590"/>
        <v>0.12241559107338029</v>
      </c>
    </row>
    <row r="3779" spans="27:29">
      <c r="AA3779" s="50">
        <v>302.60000000000002</v>
      </c>
      <c r="AB3779" s="51">
        <v>75.462999999999994</v>
      </c>
      <c r="AC3779" s="52">
        <f t="shared" si="590"/>
        <v>0.12226593359635948</v>
      </c>
    </row>
    <row r="3780" spans="27:29">
      <c r="AA3780" s="50">
        <v>302.5</v>
      </c>
      <c r="AB3780" s="51">
        <v>75.418999999999997</v>
      </c>
      <c r="AC3780" s="52">
        <f t="shared" si="590"/>
        <v>0.12251923031492667</v>
      </c>
    </row>
    <row r="3781" spans="27:29">
      <c r="AA3781" s="50">
        <v>302.39999999999998</v>
      </c>
      <c r="AB3781" s="51">
        <v>75.311999999999998</v>
      </c>
      <c r="AC3781" s="52">
        <f t="shared" si="590"/>
        <v>0.1231358190374761</v>
      </c>
    </row>
    <row r="3782" spans="27:29">
      <c r="AA3782" s="50">
        <v>302.3</v>
      </c>
      <c r="AB3782" s="51">
        <v>75.221000000000004</v>
      </c>
      <c r="AC3782" s="52">
        <f t="shared" si="590"/>
        <v>0.12366089729496638</v>
      </c>
    </row>
    <row r="3783" spans="27:29">
      <c r="AA3783" s="50">
        <v>302.2</v>
      </c>
      <c r="AB3783" s="51">
        <v>75.150999999999996</v>
      </c>
      <c r="AC3783" s="52">
        <f t="shared" si="590"/>
        <v>0.1240652360805007</v>
      </c>
    </row>
    <row r="3784" spans="27:29">
      <c r="AA3784" s="50">
        <v>302.10000000000002</v>
      </c>
      <c r="AB3784" s="51">
        <v>75.09</v>
      </c>
      <c r="AC3784" s="52">
        <f t="shared" si="590"/>
        <v>0.12441789567211431</v>
      </c>
    </row>
    <row r="3785" spans="27:29">
      <c r="AA3785" s="50">
        <v>302</v>
      </c>
      <c r="AB3785" s="51">
        <v>74.921000000000006</v>
      </c>
      <c r="AC3785" s="52">
        <f t="shared" si="590"/>
        <v>0.12539643455916619</v>
      </c>
    </row>
    <row r="3786" spans="27:29">
      <c r="AA3786" s="50">
        <v>301.89999999999998</v>
      </c>
      <c r="AB3786" s="51">
        <v>74.876000000000005</v>
      </c>
      <c r="AC3786" s="52">
        <f t="shared" ref="AC3786:AC3849" si="591">-LOG(AB3786/100)</f>
        <v>0.12565736438117239</v>
      </c>
    </row>
    <row r="3787" spans="27:29">
      <c r="AA3787" s="50">
        <v>301.8</v>
      </c>
      <c r="AB3787" s="51">
        <v>74.846999999999994</v>
      </c>
      <c r="AC3787" s="52">
        <f t="shared" si="591"/>
        <v>0.12582560226222875</v>
      </c>
    </row>
    <row r="3788" spans="27:29">
      <c r="AA3788" s="50">
        <v>301.7</v>
      </c>
      <c r="AB3788" s="51">
        <v>74.760000000000005</v>
      </c>
      <c r="AC3788" s="52">
        <f t="shared" si="591"/>
        <v>0.12633070729320553</v>
      </c>
    </row>
    <row r="3789" spans="27:29">
      <c r="AA3789" s="50">
        <v>301.60000000000002</v>
      </c>
      <c r="AB3789" s="51">
        <v>74.641999999999996</v>
      </c>
      <c r="AC3789" s="52">
        <f t="shared" si="591"/>
        <v>0.12701673237346739</v>
      </c>
    </row>
    <row r="3790" spans="27:29">
      <c r="AA3790" s="50">
        <v>301.5</v>
      </c>
      <c r="AB3790" s="51">
        <v>74.653999999999996</v>
      </c>
      <c r="AC3790" s="52">
        <f t="shared" si="591"/>
        <v>0.12694691759217303</v>
      </c>
    </row>
    <row r="3791" spans="27:29">
      <c r="AA3791" s="50">
        <v>301.39999999999998</v>
      </c>
      <c r="AB3791" s="51">
        <v>74.668000000000006</v>
      </c>
      <c r="AC3791" s="52">
        <f t="shared" si="591"/>
        <v>0.12686548119613678</v>
      </c>
    </row>
    <row r="3792" spans="27:29">
      <c r="AA3792" s="50">
        <v>301.3</v>
      </c>
      <c r="AB3792" s="51">
        <v>74.625</v>
      </c>
      <c r="AC3792" s="52">
        <f t="shared" si="591"/>
        <v>0.12711565586257451</v>
      </c>
    </row>
    <row r="3793" spans="27:29">
      <c r="AA3793" s="50">
        <v>301.2</v>
      </c>
      <c r="AB3793" s="51">
        <v>74.433000000000007</v>
      </c>
      <c r="AC3793" s="52">
        <f t="shared" si="591"/>
        <v>0.12823447654501957</v>
      </c>
    </row>
    <row r="3794" spans="27:29">
      <c r="AA3794" s="50">
        <v>301.10000000000002</v>
      </c>
      <c r="AB3794" s="51">
        <v>74.367000000000004</v>
      </c>
      <c r="AC3794" s="52">
        <f t="shared" si="591"/>
        <v>0.12861973780423083</v>
      </c>
    </row>
    <row r="3795" spans="27:29">
      <c r="AA3795" s="50">
        <v>301</v>
      </c>
      <c r="AB3795" s="51">
        <v>74.295000000000002</v>
      </c>
      <c r="AC3795" s="52">
        <f t="shared" si="591"/>
        <v>0.12904041296186269</v>
      </c>
    </row>
    <row r="3796" spans="27:29">
      <c r="AA3796" s="50">
        <v>300.89999999999998</v>
      </c>
      <c r="AB3796" s="51">
        <v>74.099999999999994</v>
      </c>
      <c r="AC3796" s="52">
        <f t="shared" si="591"/>
        <v>0.13018179202067184</v>
      </c>
    </row>
    <row r="3797" spans="27:29">
      <c r="AA3797" s="50">
        <v>300.8</v>
      </c>
      <c r="AB3797" s="51">
        <v>74.001000000000005</v>
      </c>
      <c r="AC3797" s="52">
        <f t="shared" si="591"/>
        <v>0.13076241146432774</v>
      </c>
    </row>
    <row r="3798" spans="27:29">
      <c r="AA3798" s="50">
        <v>300.7</v>
      </c>
      <c r="AB3798" s="51">
        <v>73.882000000000005</v>
      </c>
      <c r="AC3798" s="52">
        <f t="shared" si="591"/>
        <v>0.13146135663722031</v>
      </c>
    </row>
    <row r="3799" spans="27:29">
      <c r="AA3799" s="50">
        <v>300.60000000000002</v>
      </c>
      <c r="AB3799" s="51">
        <v>73.838999999999999</v>
      </c>
      <c r="AC3799" s="52">
        <f t="shared" si="591"/>
        <v>0.13171419358321032</v>
      </c>
    </row>
    <row r="3800" spans="27:29">
      <c r="AA3800" s="50">
        <v>300.5</v>
      </c>
      <c r="AB3800" s="51">
        <v>73.757000000000005</v>
      </c>
      <c r="AC3800" s="52">
        <f t="shared" si="591"/>
        <v>0.13219675613477086</v>
      </c>
    </row>
    <row r="3801" spans="27:29">
      <c r="AA3801" s="50">
        <v>300.39999999999998</v>
      </c>
      <c r="AB3801" s="51">
        <v>73.762</v>
      </c>
      <c r="AC3801" s="52">
        <f t="shared" si="591"/>
        <v>0.13216731623332972</v>
      </c>
    </row>
    <row r="3802" spans="27:29">
      <c r="AA3802" s="50">
        <v>300.3</v>
      </c>
      <c r="AB3802" s="51">
        <v>73.724000000000004</v>
      </c>
      <c r="AC3802" s="52">
        <f t="shared" si="591"/>
        <v>0.13239110955171263</v>
      </c>
    </row>
    <row r="3803" spans="27:29">
      <c r="AA3803" s="50">
        <v>300.2</v>
      </c>
      <c r="AB3803" s="51">
        <v>73.593000000000004</v>
      </c>
      <c r="AC3803" s="52">
        <f t="shared" si="591"/>
        <v>0.13316349280856937</v>
      </c>
    </row>
    <row r="3804" spans="27:29">
      <c r="AA3804" s="50">
        <v>300.10000000000002</v>
      </c>
      <c r="AB3804" s="51">
        <v>73.512</v>
      </c>
      <c r="AC3804" s="52">
        <f t="shared" si="591"/>
        <v>0.1336417614818213</v>
      </c>
    </row>
    <row r="3805" spans="27:29">
      <c r="AA3805" s="50">
        <v>300</v>
      </c>
      <c r="AB3805" s="51">
        <v>73.399000000000001</v>
      </c>
      <c r="AC3805" s="52">
        <f t="shared" si="591"/>
        <v>0.13430985694278966</v>
      </c>
    </row>
    <row r="3806" spans="27:29">
      <c r="AA3806" s="50">
        <v>299.89999999999998</v>
      </c>
      <c r="AB3806" s="51">
        <v>73.212999999999994</v>
      </c>
      <c r="AC3806" s="52">
        <f t="shared" si="591"/>
        <v>0.13541179698823547</v>
      </c>
    </row>
    <row r="3807" spans="27:29">
      <c r="AA3807" s="50">
        <v>299.8</v>
      </c>
      <c r="AB3807" s="51">
        <v>73.069000000000003</v>
      </c>
      <c r="AC3807" s="52">
        <f t="shared" si="591"/>
        <v>0.13626683623564639</v>
      </c>
    </row>
    <row r="3808" spans="27:29">
      <c r="AA3808" s="50">
        <v>299.7</v>
      </c>
      <c r="AB3808" s="51">
        <v>72.882000000000005</v>
      </c>
      <c r="AC3808" s="52">
        <f t="shared" si="591"/>
        <v>0.13737971812828051</v>
      </c>
    </row>
    <row r="3809" spans="27:29">
      <c r="AA3809" s="50">
        <v>299.60000000000002</v>
      </c>
      <c r="AB3809" s="51">
        <v>72.772000000000006</v>
      </c>
      <c r="AC3809" s="52">
        <f t="shared" si="591"/>
        <v>0.13803568915676817</v>
      </c>
    </row>
    <row r="3810" spans="27:29">
      <c r="AA3810" s="50">
        <v>299.5</v>
      </c>
      <c r="AB3810" s="51">
        <v>72.691999999999993</v>
      </c>
      <c r="AC3810" s="52">
        <f t="shared" si="591"/>
        <v>0.13851338208498573</v>
      </c>
    </row>
    <row r="3811" spans="27:29">
      <c r="AA3811" s="50">
        <v>299.39999999999998</v>
      </c>
      <c r="AB3811" s="51">
        <v>72.582999999999998</v>
      </c>
      <c r="AC3811" s="52">
        <f t="shared" si="591"/>
        <v>0.13916508550829293</v>
      </c>
    </row>
    <row r="3812" spans="27:29">
      <c r="AA3812" s="50">
        <v>299.3</v>
      </c>
      <c r="AB3812" s="51">
        <v>72.430000000000007</v>
      </c>
      <c r="AC3812" s="52">
        <f t="shared" si="591"/>
        <v>0.14008151479928421</v>
      </c>
    </row>
    <row r="3813" spans="27:29">
      <c r="AA3813" s="50">
        <v>299.2</v>
      </c>
      <c r="AB3813" s="51">
        <v>72.408000000000001</v>
      </c>
      <c r="AC3813" s="52">
        <f t="shared" si="591"/>
        <v>0.1402134481134055</v>
      </c>
    </row>
    <row r="3814" spans="27:29">
      <c r="AA3814" s="50">
        <v>299.10000000000002</v>
      </c>
      <c r="AB3814" s="51">
        <v>72.338999999999999</v>
      </c>
      <c r="AC3814" s="52">
        <f t="shared" si="591"/>
        <v>0.14062749913375339</v>
      </c>
    </row>
    <row r="3815" spans="27:29">
      <c r="AA3815" s="50">
        <v>299</v>
      </c>
      <c r="AB3815" s="51">
        <v>72.191000000000003</v>
      </c>
      <c r="AC3815" s="52">
        <f t="shared" si="591"/>
        <v>0.14151694223605776</v>
      </c>
    </row>
    <row r="3816" spans="27:29">
      <c r="AA3816" s="50">
        <v>298.89999999999998</v>
      </c>
      <c r="AB3816" s="51">
        <v>72.048000000000002</v>
      </c>
      <c r="AC3816" s="52">
        <f t="shared" si="591"/>
        <v>0.14237807038114239</v>
      </c>
    </row>
    <row r="3817" spans="27:29">
      <c r="AA3817" s="50">
        <v>298.8</v>
      </c>
      <c r="AB3817" s="51">
        <v>71.713999999999999</v>
      </c>
      <c r="AC3817" s="52">
        <f t="shared" si="591"/>
        <v>0.14439605312958426</v>
      </c>
    </row>
    <row r="3818" spans="27:29">
      <c r="AA3818" s="50">
        <v>298.7</v>
      </c>
      <c r="AB3818" s="51">
        <v>71.513000000000005</v>
      </c>
      <c r="AC3818" s="52">
        <f t="shared" si="591"/>
        <v>0.14561500274339723</v>
      </c>
    </row>
    <row r="3819" spans="27:29">
      <c r="AA3819" s="50">
        <v>298.60000000000002</v>
      </c>
      <c r="AB3819" s="51">
        <v>71.442999999999998</v>
      </c>
      <c r="AC3819" s="52">
        <f t="shared" si="591"/>
        <v>0.14604031705217654</v>
      </c>
    </row>
    <row r="3820" spans="27:29">
      <c r="AA3820" s="50">
        <v>298.5</v>
      </c>
      <c r="AB3820" s="51">
        <v>71.286000000000001</v>
      </c>
      <c r="AC3820" s="52">
        <f t="shared" si="591"/>
        <v>0.14699575373510906</v>
      </c>
    </row>
    <row r="3821" spans="27:29">
      <c r="AA3821" s="50">
        <v>298.39999999999998</v>
      </c>
      <c r="AB3821" s="51">
        <v>71.128</v>
      </c>
      <c r="AC3821" s="52">
        <f t="shared" si="591"/>
        <v>0.14795940276250824</v>
      </c>
    </row>
    <row r="3822" spans="27:29">
      <c r="AA3822" s="50">
        <v>298.3</v>
      </c>
      <c r="AB3822" s="51">
        <v>70.972999999999999</v>
      </c>
      <c r="AC3822" s="52">
        <f t="shared" si="591"/>
        <v>0.14890683693105192</v>
      </c>
    </row>
    <row r="3823" spans="27:29">
      <c r="AA3823" s="50">
        <v>298.2</v>
      </c>
      <c r="AB3823" s="51">
        <v>70.912999999999997</v>
      </c>
      <c r="AC3823" s="52">
        <f t="shared" si="591"/>
        <v>0.14927414125237232</v>
      </c>
    </row>
    <row r="3824" spans="27:29">
      <c r="AA3824" s="50">
        <v>298.10000000000002</v>
      </c>
      <c r="AB3824" s="51">
        <v>70.77</v>
      </c>
      <c r="AC3824" s="52">
        <f t="shared" si="591"/>
        <v>0.1501508043947421</v>
      </c>
    </row>
    <row r="3825" spans="27:29">
      <c r="AA3825" s="50">
        <v>298</v>
      </c>
      <c r="AB3825" s="51">
        <v>70.668999999999997</v>
      </c>
      <c r="AC3825" s="52">
        <f t="shared" si="591"/>
        <v>0.15077105411551134</v>
      </c>
    </row>
    <row r="3826" spans="27:29">
      <c r="AA3826" s="50">
        <v>297.89999999999998</v>
      </c>
      <c r="AB3826" s="51">
        <v>70.444000000000003</v>
      </c>
      <c r="AC3826" s="52">
        <f t="shared" si="591"/>
        <v>0.15215599159451279</v>
      </c>
    </row>
    <row r="3827" spans="27:29">
      <c r="AA3827" s="50">
        <v>297.8</v>
      </c>
      <c r="AB3827" s="51">
        <v>70.254999999999995</v>
      </c>
      <c r="AC3827" s="52">
        <f t="shared" si="591"/>
        <v>0.15332276188357169</v>
      </c>
    </row>
    <row r="3828" spans="27:29">
      <c r="AA3828" s="50">
        <v>297.7</v>
      </c>
      <c r="AB3828" s="51">
        <v>70.05</v>
      </c>
      <c r="AC3828" s="52">
        <f t="shared" si="591"/>
        <v>0.15459186037820657</v>
      </c>
    </row>
    <row r="3829" spans="27:29">
      <c r="AA3829" s="50">
        <v>297.60000000000002</v>
      </c>
      <c r="AB3829" s="51">
        <v>69.826999999999998</v>
      </c>
      <c r="AC3829" s="52">
        <f t="shared" si="591"/>
        <v>0.15597661629255663</v>
      </c>
    </row>
    <row r="3830" spans="27:29">
      <c r="AA3830" s="50">
        <v>297.5</v>
      </c>
      <c r="AB3830" s="51">
        <v>69.599999999999994</v>
      </c>
      <c r="AC3830" s="52">
        <f t="shared" si="591"/>
        <v>0.15739076038943792</v>
      </c>
    </row>
    <row r="3831" spans="27:29">
      <c r="AA3831" s="50">
        <v>297.39999999999998</v>
      </c>
      <c r="AB3831" s="51">
        <v>69.430999999999997</v>
      </c>
      <c r="AC3831" s="52">
        <f t="shared" si="591"/>
        <v>0.1584465796468838</v>
      </c>
    </row>
    <row r="3832" spans="27:29">
      <c r="AA3832" s="50">
        <v>297.3</v>
      </c>
      <c r="AB3832" s="51">
        <v>69.274000000000001</v>
      </c>
      <c r="AC3832" s="52">
        <f t="shared" si="591"/>
        <v>0.15942973472821353</v>
      </c>
    </row>
    <row r="3833" spans="27:29">
      <c r="AA3833" s="50">
        <v>297.2</v>
      </c>
      <c r="AB3833" s="51">
        <v>69.156999999999996</v>
      </c>
      <c r="AC3833" s="52">
        <f t="shared" si="591"/>
        <v>0.16016385449158749</v>
      </c>
    </row>
    <row r="3834" spans="27:29">
      <c r="AA3834" s="50">
        <v>297.10000000000002</v>
      </c>
      <c r="AB3834" s="51">
        <v>69.024000000000001</v>
      </c>
      <c r="AC3834" s="52">
        <f t="shared" si="591"/>
        <v>0.16099987657754899</v>
      </c>
    </row>
    <row r="3835" spans="27:29">
      <c r="AA3835" s="50">
        <v>297</v>
      </c>
      <c r="AB3835" s="51">
        <v>68.84</v>
      </c>
      <c r="AC3835" s="52">
        <f t="shared" si="591"/>
        <v>0.16215913834447734</v>
      </c>
    </row>
    <row r="3836" spans="27:29">
      <c r="AA3836" s="50">
        <v>296.89999999999998</v>
      </c>
      <c r="AB3836" s="51">
        <v>68.656000000000006</v>
      </c>
      <c r="AC3836" s="52">
        <f t="shared" si="591"/>
        <v>0.16332150281140331</v>
      </c>
    </row>
    <row r="3837" spans="27:29">
      <c r="AA3837" s="50">
        <v>296.8</v>
      </c>
      <c r="AB3837" s="51">
        <v>68.441000000000003</v>
      </c>
      <c r="AC3837" s="52">
        <f t="shared" si="591"/>
        <v>0.16468365355365613</v>
      </c>
    </row>
    <row r="3838" spans="27:29">
      <c r="AA3838" s="50">
        <v>296.7</v>
      </c>
      <c r="AB3838" s="51">
        <v>68.236000000000004</v>
      </c>
      <c r="AC3838" s="52">
        <f t="shared" si="591"/>
        <v>0.16598643947305641</v>
      </c>
    </row>
    <row r="3839" spans="27:29">
      <c r="AA3839" s="50">
        <v>296.60000000000002</v>
      </c>
      <c r="AB3839" s="51">
        <v>67.986000000000004</v>
      </c>
      <c r="AC3839" s="52">
        <f t="shared" si="591"/>
        <v>0.16758051006916888</v>
      </c>
    </row>
    <row r="3840" spans="27:29">
      <c r="AA3840" s="50">
        <v>296.5</v>
      </c>
      <c r="AB3840" s="51">
        <v>67.796000000000006</v>
      </c>
      <c r="AC3840" s="52">
        <f t="shared" si="591"/>
        <v>0.16879592898210788</v>
      </c>
    </row>
    <row r="3841" spans="27:29">
      <c r="AA3841" s="50">
        <v>296.39999999999998</v>
      </c>
      <c r="AB3841" s="51">
        <v>67.712000000000003</v>
      </c>
      <c r="AC3841" s="52">
        <f t="shared" si="591"/>
        <v>0.16933435831694585</v>
      </c>
    </row>
    <row r="3842" spans="27:29">
      <c r="AA3842" s="50">
        <v>296.3</v>
      </c>
      <c r="AB3842" s="51">
        <v>67.453999999999994</v>
      </c>
      <c r="AC3842" s="52">
        <f t="shared" si="591"/>
        <v>0.17099229170861435</v>
      </c>
    </row>
    <row r="3843" spans="27:29">
      <c r="AA3843" s="50">
        <v>296.2</v>
      </c>
      <c r="AB3843" s="51">
        <v>67.271000000000001</v>
      </c>
      <c r="AC3843" s="52">
        <f t="shared" si="591"/>
        <v>0.17217211637466859</v>
      </c>
    </row>
    <row r="3844" spans="27:29">
      <c r="AA3844" s="50">
        <v>296.10000000000002</v>
      </c>
      <c r="AB3844" s="51">
        <v>67.040999999999997</v>
      </c>
      <c r="AC3844" s="52">
        <f t="shared" si="591"/>
        <v>0.17365951628644841</v>
      </c>
    </row>
    <row r="3845" spans="27:29">
      <c r="AA3845" s="50">
        <v>296</v>
      </c>
      <c r="AB3845" s="51">
        <v>66.953999999999994</v>
      </c>
      <c r="AC3845" s="52">
        <f t="shared" si="591"/>
        <v>0.17422347203457281</v>
      </c>
    </row>
    <row r="3846" spans="27:29">
      <c r="AA3846" s="50">
        <v>295.89999999999998</v>
      </c>
      <c r="AB3846" s="51">
        <v>66.89</v>
      </c>
      <c r="AC3846" s="52">
        <f t="shared" si="591"/>
        <v>0.17463880404736662</v>
      </c>
    </row>
    <row r="3847" spans="27:29">
      <c r="AA3847" s="50">
        <v>295.8</v>
      </c>
      <c r="AB3847" s="51">
        <v>66.63</v>
      </c>
      <c r="AC3847" s="52">
        <f t="shared" si="591"/>
        <v>0.1763301867318636</v>
      </c>
    </row>
    <row r="3848" spans="27:29">
      <c r="AA3848" s="50">
        <v>295.7</v>
      </c>
      <c r="AB3848" s="51">
        <v>66.406000000000006</v>
      </c>
      <c r="AC3848" s="52">
        <f t="shared" si="591"/>
        <v>0.17779267892764392</v>
      </c>
    </row>
    <row r="3849" spans="27:29">
      <c r="AA3849" s="50">
        <v>295.60000000000002</v>
      </c>
      <c r="AB3849" s="51">
        <v>66.055999999999997</v>
      </c>
      <c r="AC3849" s="52">
        <f t="shared" si="591"/>
        <v>0.18008772841214443</v>
      </c>
    </row>
    <row r="3850" spans="27:29">
      <c r="AA3850" s="50">
        <v>295.5</v>
      </c>
      <c r="AB3850" s="51">
        <v>65.837000000000003</v>
      </c>
      <c r="AC3850" s="52">
        <f t="shared" ref="AC3850:AC3913" si="592">-LOG(AB3850/100)</f>
        <v>0.18152996687734121</v>
      </c>
    </row>
    <row r="3851" spans="27:29">
      <c r="AA3851" s="50">
        <v>295.39999999999998</v>
      </c>
      <c r="AB3851" s="51">
        <v>65.692999999999998</v>
      </c>
      <c r="AC3851" s="52">
        <f t="shared" si="592"/>
        <v>0.18248090476801748</v>
      </c>
    </row>
    <row r="3852" spans="27:29">
      <c r="AA3852" s="50">
        <v>295.3</v>
      </c>
      <c r="AB3852" s="51">
        <v>65.539000000000001</v>
      </c>
      <c r="AC3852" s="52">
        <f t="shared" si="592"/>
        <v>0.18350018940764265</v>
      </c>
    </row>
    <row r="3853" spans="27:29">
      <c r="AA3853" s="50">
        <v>295.2</v>
      </c>
      <c r="AB3853" s="51">
        <v>65.25</v>
      </c>
      <c r="AC3853" s="52">
        <f t="shared" si="592"/>
        <v>0.18541948398968144</v>
      </c>
    </row>
    <row r="3854" spans="27:29">
      <c r="AA3854" s="50">
        <v>295.10000000000002</v>
      </c>
      <c r="AB3854" s="51">
        <v>65.034999999999997</v>
      </c>
      <c r="AC3854" s="52">
        <f t="shared" si="592"/>
        <v>0.18685285541953253</v>
      </c>
    </row>
    <row r="3855" spans="27:29">
      <c r="AA3855" s="50">
        <v>295</v>
      </c>
      <c r="AB3855" s="51">
        <v>64.84</v>
      </c>
      <c r="AC3855" s="52">
        <f t="shared" si="592"/>
        <v>0.18815699382352261</v>
      </c>
    </row>
    <row r="3856" spans="27:29">
      <c r="AA3856" s="50">
        <v>294.89999999999998</v>
      </c>
      <c r="AB3856" s="51">
        <v>64.641999999999996</v>
      </c>
      <c r="AC3856" s="52">
        <f t="shared" si="592"/>
        <v>0.18948521511207864</v>
      </c>
    </row>
    <row r="3857" spans="27:31">
      <c r="AA3857" s="50">
        <v>294.8</v>
      </c>
      <c r="AB3857" s="51">
        <v>64.534000000000006</v>
      </c>
      <c r="AC3857" s="52">
        <f t="shared" si="592"/>
        <v>0.19021141525721874</v>
      </c>
    </row>
    <row r="3858" spans="27:31">
      <c r="AA3858" s="50">
        <v>294.7</v>
      </c>
      <c r="AB3858" s="51">
        <v>64.278000000000006</v>
      </c>
      <c r="AC3858" s="52">
        <f t="shared" si="592"/>
        <v>0.19193764470391197</v>
      </c>
    </row>
    <row r="3859" spans="27:31">
      <c r="AA3859" s="50">
        <v>294.60000000000002</v>
      </c>
      <c r="AB3859" s="51">
        <v>64.087000000000003</v>
      </c>
      <c r="AC3859" s="52">
        <f t="shared" si="592"/>
        <v>0.19323005785796954</v>
      </c>
    </row>
    <row r="3860" spans="27:31">
      <c r="AA3860" s="50">
        <v>294.5</v>
      </c>
      <c r="AB3860" s="51">
        <v>63.862000000000002</v>
      </c>
      <c r="AC3860" s="52">
        <f t="shared" si="592"/>
        <v>0.19475748455381423</v>
      </c>
    </row>
    <row r="3861" spans="27:31">
      <c r="AA3861" s="50">
        <v>294.39999999999998</v>
      </c>
      <c r="AB3861" s="51">
        <v>63.58</v>
      </c>
      <c r="AC3861" s="52">
        <f t="shared" si="592"/>
        <v>0.19667947642124589</v>
      </c>
    </row>
    <row r="3862" spans="27:31">
      <c r="AA3862" s="50">
        <v>294.3</v>
      </c>
      <c r="AB3862" s="51">
        <v>63.350999999999999</v>
      </c>
      <c r="AC3862" s="52">
        <f t="shared" si="592"/>
        <v>0.19824652535742696</v>
      </c>
    </row>
    <row r="3863" spans="27:31">
      <c r="AA3863" s="50">
        <v>294.2</v>
      </c>
      <c r="AB3863" s="51">
        <v>63.098999999999997</v>
      </c>
      <c r="AC3863" s="52">
        <f t="shared" si="592"/>
        <v>0.19997752344878583</v>
      </c>
    </row>
    <row r="3864" spans="27:31">
      <c r="AA3864" s="50">
        <v>294.10000000000002</v>
      </c>
      <c r="AB3864" s="51">
        <v>62.936999999999998</v>
      </c>
      <c r="AC3864" s="52">
        <f t="shared" si="592"/>
        <v>0.201093962320436</v>
      </c>
    </row>
    <row r="3865" spans="27:31">
      <c r="AA3865" s="50">
        <v>294</v>
      </c>
      <c r="AB3865" s="51">
        <v>62.850999999999999</v>
      </c>
      <c r="AC3865" s="52">
        <f t="shared" si="592"/>
        <v>0.20168780801737218</v>
      </c>
    </row>
    <row r="3866" spans="27:31">
      <c r="AA3866" s="50">
        <v>293.89999999999998</v>
      </c>
      <c r="AB3866" s="51">
        <v>62.728000000000002</v>
      </c>
      <c r="AC3866" s="52">
        <f t="shared" si="592"/>
        <v>0.20253855915181868</v>
      </c>
    </row>
    <row r="3867" spans="27:31">
      <c r="AA3867" s="50">
        <v>293.8</v>
      </c>
      <c r="AB3867" s="51">
        <v>62.606000000000002</v>
      </c>
      <c r="AC3867" s="52">
        <f t="shared" si="592"/>
        <v>0.2033840431150912</v>
      </c>
    </row>
    <row r="3868" spans="27:31">
      <c r="AA3868" s="50">
        <v>293.7</v>
      </c>
      <c r="AB3868" s="51">
        <v>62.5</v>
      </c>
      <c r="AC3868" s="52">
        <f t="shared" si="592"/>
        <v>0.20411998265592479</v>
      </c>
    </row>
    <row r="3869" spans="27:31">
      <c r="AA3869" s="50">
        <v>293.60000000000002</v>
      </c>
      <c r="AB3869" s="51">
        <v>62.3</v>
      </c>
      <c r="AC3869" s="52">
        <f t="shared" si="592"/>
        <v>0.20551195334083039</v>
      </c>
    </row>
    <row r="3870" spans="27:31">
      <c r="AA3870" s="50">
        <v>293.5</v>
      </c>
      <c r="AB3870" s="51">
        <v>62.167000000000002</v>
      </c>
      <c r="AC3870" s="52">
        <f t="shared" si="592"/>
        <v>0.20644008992445959</v>
      </c>
      <c r="AD3870">
        <f>LARGE(AC3870:AC3990,4)</f>
        <v>0.44457904602500015</v>
      </c>
      <c r="AE3870" t="s">
        <v>346</v>
      </c>
    </row>
    <row r="3871" spans="27:31">
      <c r="AA3871" s="50">
        <v>293.39999999999998</v>
      </c>
      <c r="AB3871" s="51">
        <v>61.945999999999998</v>
      </c>
      <c r="AC3871" s="52">
        <f t="shared" si="592"/>
        <v>0.20798673180629146</v>
      </c>
      <c r="AD3871">
        <f>SMALL(AC3870:AC3990,4)</f>
        <v>0.20896233576531745</v>
      </c>
      <c r="AE3871" t="s">
        <v>347</v>
      </c>
    </row>
    <row r="3872" spans="27:31">
      <c r="AA3872" s="50">
        <v>293.3</v>
      </c>
      <c r="AB3872" s="51">
        <v>61.843000000000004</v>
      </c>
      <c r="AC3872" s="52">
        <f t="shared" si="592"/>
        <v>0.20870945098100246</v>
      </c>
    </row>
    <row r="3873" spans="27:29">
      <c r="AA3873" s="50">
        <v>293.2</v>
      </c>
      <c r="AB3873" s="51">
        <v>61.807000000000002</v>
      </c>
      <c r="AC3873" s="52">
        <f t="shared" si="592"/>
        <v>0.20896233576531745</v>
      </c>
    </row>
    <row r="3874" spans="27:29">
      <c r="AA3874" s="50">
        <v>293.10000000000002</v>
      </c>
      <c r="AB3874" s="51">
        <v>61.765999999999998</v>
      </c>
      <c r="AC3874" s="52">
        <f t="shared" si="592"/>
        <v>0.2092505229002323</v>
      </c>
    </row>
    <row r="3875" spans="27:29">
      <c r="AA3875" s="50">
        <v>293</v>
      </c>
      <c r="AB3875" s="51">
        <v>61.578000000000003</v>
      </c>
      <c r="AC3875" s="52">
        <f t="shared" si="592"/>
        <v>0.21057442071163138</v>
      </c>
    </row>
    <row r="3876" spans="27:29">
      <c r="AA3876" s="50">
        <v>292.89999999999998</v>
      </c>
      <c r="AB3876" s="51">
        <v>61.42</v>
      </c>
      <c r="AC3876" s="52">
        <f t="shared" si="592"/>
        <v>0.21169018789294994</v>
      </c>
    </row>
    <row r="3877" spans="27:29">
      <c r="AA3877" s="50">
        <v>292.8</v>
      </c>
      <c r="AB3877" s="51">
        <v>61.35</v>
      </c>
      <c r="AC3877" s="52">
        <f t="shared" si="592"/>
        <v>0.21218543293697692</v>
      </c>
    </row>
    <row r="3878" spans="27:29">
      <c r="AA3878" s="50">
        <v>292.7</v>
      </c>
      <c r="AB3878" s="51">
        <v>61.371000000000002</v>
      </c>
      <c r="AC3878" s="52">
        <f t="shared" si="592"/>
        <v>0.2120368001160419</v>
      </c>
    </row>
    <row r="3879" spans="27:29">
      <c r="AA3879" s="50">
        <v>292.60000000000002</v>
      </c>
      <c r="AB3879" s="51">
        <v>61.423999999999999</v>
      </c>
      <c r="AC3879" s="52">
        <f t="shared" si="592"/>
        <v>0.21166190522667028</v>
      </c>
    </row>
    <row r="3880" spans="27:29">
      <c r="AA3880" s="50">
        <v>292.5</v>
      </c>
      <c r="AB3880" s="51">
        <v>61.237000000000002</v>
      </c>
      <c r="AC3880" s="52">
        <f t="shared" si="592"/>
        <v>0.21298609353483655</v>
      </c>
    </row>
    <row r="3881" spans="27:29">
      <c r="AA3881" s="50">
        <v>292.39999999999998</v>
      </c>
      <c r="AB3881" s="51">
        <v>60.994999999999997</v>
      </c>
      <c r="AC3881" s="52">
        <f t="shared" si="592"/>
        <v>0.21470576435659611</v>
      </c>
    </row>
    <row r="3882" spans="27:29">
      <c r="AA3882" s="50">
        <v>292.3</v>
      </c>
      <c r="AB3882" s="51">
        <v>60.771999999999998</v>
      </c>
      <c r="AC3882" s="52">
        <f t="shared" si="592"/>
        <v>0.2162964708326891</v>
      </c>
    </row>
    <row r="3883" spans="27:29">
      <c r="AA3883" s="50">
        <v>292.2</v>
      </c>
      <c r="AB3883" s="51">
        <v>60.567</v>
      </c>
      <c r="AC3883" s="52">
        <f t="shared" si="592"/>
        <v>0.21776393724494225</v>
      </c>
    </row>
    <row r="3884" spans="27:29">
      <c r="AA3884" s="50">
        <v>292.10000000000002</v>
      </c>
      <c r="AB3884" s="51">
        <v>60.433</v>
      </c>
      <c r="AC3884" s="52">
        <f t="shared" si="592"/>
        <v>0.21872584607743356</v>
      </c>
    </row>
    <row r="3885" spans="27:29">
      <c r="AA3885" s="50">
        <v>292</v>
      </c>
      <c r="AB3885" s="51">
        <v>60.156999999999996</v>
      </c>
      <c r="AC3885" s="52">
        <f t="shared" si="592"/>
        <v>0.2207138299285859</v>
      </c>
    </row>
    <row r="3886" spans="27:29">
      <c r="AA3886" s="50">
        <v>291.89999999999998</v>
      </c>
      <c r="AB3886" s="51">
        <v>59.853000000000002</v>
      </c>
      <c r="AC3886" s="52">
        <f t="shared" si="592"/>
        <v>0.22291407665618237</v>
      </c>
    </row>
    <row r="3887" spans="27:29">
      <c r="AA3887" s="50">
        <v>291.8</v>
      </c>
      <c r="AB3887" s="51">
        <v>59.42</v>
      </c>
      <c r="AC3887" s="52">
        <f t="shared" si="592"/>
        <v>0.22606735253235472</v>
      </c>
    </row>
    <row r="3888" spans="27:29">
      <c r="AA3888" s="50">
        <v>291.7</v>
      </c>
      <c r="AB3888" s="51">
        <v>59.055</v>
      </c>
      <c r="AC3888" s="52">
        <f t="shared" si="592"/>
        <v>0.22874332615408921</v>
      </c>
    </row>
    <row r="3889" spans="27:29">
      <c r="AA3889" s="50">
        <v>291.60000000000002</v>
      </c>
      <c r="AB3889" s="51">
        <v>58.454000000000001</v>
      </c>
      <c r="AC3889" s="52">
        <f t="shared" si="592"/>
        <v>0.23318576476751621</v>
      </c>
    </row>
    <row r="3890" spans="27:29">
      <c r="AA3890" s="50">
        <v>291.5</v>
      </c>
      <c r="AB3890" s="51">
        <v>57.826999999999998</v>
      </c>
      <c r="AC3890" s="52">
        <f t="shared" si="592"/>
        <v>0.23786933782334976</v>
      </c>
    </row>
    <row r="3891" spans="27:29">
      <c r="AA3891" s="50">
        <v>291.39999999999998</v>
      </c>
      <c r="AB3891" s="51">
        <v>57.043999999999997</v>
      </c>
      <c r="AC3891" s="52">
        <f t="shared" si="592"/>
        <v>0.24379002879048975</v>
      </c>
    </row>
    <row r="3892" spans="27:29">
      <c r="AA3892" s="50">
        <v>291.3</v>
      </c>
      <c r="AB3892" s="51">
        <v>56.271999999999998</v>
      </c>
      <c r="AC3892" s="52">
        <f t="shared" si="592"/>
        <v>0.24970764902713263</v>
      </c>
    </row>
    <row r="3893" spans="27:29">
      <c r="AA3893" s="50">
        <v>291.2</v>
      </c>
      <c r="AB3893" s="51">
        <v>55.276000000000003</v>
      </c>
      <c r="AC3893" s="52">
        <f t="shared" si="592"/>
        <v>0.25746339184190409</v>
      </c>
    </row>
    <row r="3894" spans="27:29">
      <c r="AA3894" s="50">
        <v>291.10000000000002</v>
      </c>
      <c r="AB3894" s="51">
        <v>54.29</v>
      </c>
      <c r="AC3894" s="52">
        <f t="shared" si="592"/>
        <v>0.26528015834432023</v>
      </c>
    </row>
    <row r="3895" spans="27:29">
      <c r="AA3895" s="50">
        <v>291</v>
      </c>
      <c r="AB3895" s="51">
        <v>53.277000000000001</v>
      </c>
      <c r="AC3895" s="52">
        <f t="shared" si="592"/>
        <v>0.27346023804435005</v>
      </c>
    </row>
    <row r="3896" spans="27:29">
      <c r="AA3896" s="50">
        <v>290.89999999999998</v>
      </c>
      <c r="AB3896" s="51">
        <v>52.356000000000002</v>
      </c>
      <c r="AC3896" s="52">
        <f t="shared" si="592"/>
        <v>0.281033540965555</v>
      </c>
    </row>
    <row r="3897" spans="27:29">
      <c r="AA3897" s="50">
        <v>290.8</v>
      </c>
      <c r="AB3897" s="51">
        <v>51.448999999999998</v>
      </c>
      <c r="AC3897" s="52">
        <f t="shared" si="592"/>
        <v>0.28862306208138316</v>
      </c>
    </row>
    <row r="3898" spans="27:29">
      <c r="AA3898" s="50">
        <v>290.7</v>
      </c>
      <c r="AB3898" s="51">
        <v>50.618000000000002</v>
      </c>
      <c r="AC3898" s="52">
        <f t="shared" si="592"/>
        <v>0.29569501852433239</v>
      </c>
    </row>
    <row r="3899" spans="27:29">
      <c r="AA3899" s="50">
        <v>290.60000000000002</v>
      </c>
      <c r="AB3899" s="51">
        <v>49.868000000000002</v>
      </c>
      <c r="AC3899" s="52">
        <f t="shared" si="592"/>
        <v>0.30217804919453722</v>
      </c>
    </row>
    <row r="3900" spans="27:29">
      <c r="AA3900" s="50">
        <v>290.5</v>
      </c>
      <c r="AB3900" s="51">
        <v>49.283999999999999</v>
      </c>
      <c r="AC3900" s="52">
        <f t="shared" si="592"/>
        <v>0.30729405109872276</v>
      </c>
    </row>
    <row r="3901" spans="27:29">
      <c r="AA3901" s="50">
        <v>290.39999999999998</v>
      </c>
      <c r="AB3901" s="51">
        <v>48.753999999999998</v>
      </c>
      <c r="AC3901" s="52">
        <f t="shared" si="592"/>
        <v>0.31198974700826138</v>
      </c>
    </row>
    <row r="3902" spans="27:29">
      <c r="AA3902" s="50">
        <v>290.3</v>
      </c>
      <c r="AB3902" s="51">
        <v>48.338000000000001</v>
      </c>
      <c r="AC3902" s="52">
        <f t="shared" si="592"/>
        <v>0.31571132262784357</v>
      </c>
    </row>
    <row r="3903" spans="27:29">
      <c r="AA3903" s="50">
        <v>290.2</v>
      </c>
      <c r="AB3903" s="51">
        <v>48.024000000000001</v>
      </c>
      <c r="AC3903" s="52">
        <f t="shared" si="592"/>
        <v>0.31854166965218256</v>
      </c>
    </row>
    <row r="3904" spans="27:29">
      <c r="AA3904" s="50">
        <v>290.10000000000002</v>
      </c>
      <c r="AB3904" s="51">
        <v>47.93</v>
      </c>
      <c r="AC3904" s="52">
        <f t="shared" si="592"/>
        <v>0.31939257100821211</v>
      </c>
    </row>
    <row r="3905" spans="27:29">
      <c r="AA3905" s="50">
        <v>290</v>
      </c>
      <c r="AB3905" s="51">
        <v>48.045000000000002</v>
      </c>
      <c r="AC3905" s="52">
        <f t="shared" si="592"/>
        <v>0.31835180228049698</v>
      </c>
    </row>
    <row r="3906" spans="27:29">
      <c r="AA3906" s="50">
        <v>289.89999999999998</v>
      </c>
      <c r="AB3906" s="51">
        <v>48.253</v>
      </c>
      <c r="AC3906" s="52">
        <f t="shared" si="592"/>
        <v>0.31647568039390384</v>
      </c>
    </row>
    <row r="3907" spans="27:29">
      <c r="AA3907" s="50">
        <v>289.8</v>
      </c>
      <c r="AB3907" s="51">
        <v>48.427</v>
      </c>
      <c r="AC3907" s="52">
        <f t="shared" si="592"/>
        <v>0.31491243419114356</v>
      </c>
    </row>
    <row r="3908" spans="27:29">
      <c r="AA3908" s="50">
        <v>289.7</v>
      </c>
      <c r="AB3908" s="51">
        <v>48.656999999999996</v>
      </c>
      <c r="AC3908" s="52">
        <f t="shared" si="592"/>
        <v>0.31285467147610518</v>
      </c>
    </row>
    <row r="3909" spans="27:29">
      <c r="AA3909" s="50">
        <v>289.60000000000002</v>
      </c>
      <c r="AB3909" s="51">
        <v>49.005000000000003</v>
      </c>
      <c r="AC3909" s="52">
        <f t="shared" si="592"/>
        <v>0.30975960646888134</v>
      </c>
    </row>
    <row r="3910" spans="27:29">
      <c r="AA3910" s="50">
        <v>289.5</v>
      </c>
      <c r="AB3910" s="51">
        <v>49.405999999999999</v>
      </c>
      <c r="AC3910" s="52">
        <f t="shared" si="592"/>
        <v>0.30622030596179278</v>
      </c>
    </row>
    <row r="3911" spans="27:29">
      <c r="AA3911" s="50">
        <v>289.39999999999998</v>
      </c>
      <c r="AB3911" s="51">
        <v>49.790999999999997</v>
      </c>
      <c r="AC3911" s="52">
        <f t="shared" si="592"/>
        <v>0.30284915128789264</v>
      </c>
    </row>
    <row r="3912" spans="27:29">
      <c r="AA3912" s="50">
        <v>289.3</v>
      </c>
      <c r="AB3912" s="51">
        <v>50.01</v>
      </c>
      <c r="AC3912" s="52">
        <f t="shared" si="592"/>
        <v>0.30094314545233225</v>
      </c>
    </row>
    <row r="3913" spans="27:29">
      <c r="AA3913" s="50">
        <v>289.2</v>
      </c>
      <c r="AB3913" s="51">
        <v>49.994999999999997</v>
      </c>
      <c r="AC3913" s="52">
        <f t="shared" si="592"/>
        <v>0.30107342728378877</v>
      </c>
    </row>
    <row r="3914" spans="27:29">
      <c r="AA3914" s="50">
        <v>289.10000000000002</v>
      </c>
      <c r="AB3914" s="51">
        <v>49.871000000000002</v>
      </c>
      <c r="AC3914" s="52">
        <f t="shared" ref="AC3914:AC3977" si="593">-LOG(AB3914/100)</f>
        <v>0.30215192333712731</v>
      </c>
    </row>
    <row r="3915" spans="27:29">
      <c r="AA3915" s="50">
        <v>289</v>
      </c>
      <c r="AB3915" s="51">
        <v>49.652000000000001</v>
      </c>
      <c r="AC3915" s="52">
        <f t="shared" si="593"/>
        <v>0.30406325328199302</v>
      </c>
    </row>
    <row r="3916" spans="27:29">
      <c r="AA3916" s="50">
        <v>288.89999999999998</v>
      </c>
      <c r="AB3916" s="51">
        <v>49.222000000000001</v>
      </c>
      <c r="AC3916" s="52">
        <f t="shared" si="593"/>
        <v>0.3078407439181165</v>
      </c>
    </row>
    <row r="3917" spans="27:29">
      <c r="AA3917" s="50">
        <v>288.8</v>
      </c>
      <c r="AB3917" s="51">
        <v>48.548000000000002</v>
      </c>
      <c r="AC3917" s="52">
        <f t="shared" si="593"/>
        <v>0.31382865673136057</v>
      </c>
    </row>
    <row r="3918" spans="27:29">
      <c r="AA3918" s="50">
        <v>288.7</v>
      </c>
      <c r="AB3918" s="51">
        <v>47.673999999999999</v>
      </c>
      <c r="AC3918" s="52">
        <f t="shared" si="593"/>
        <v>0.32171840785797579</v>
      </c>
    </row>
    <row r="3919" spans="27:29">
      <c r="AA3919" s="50">
        <v>288.60000000000002</v>
      </c>
      <c r="AB3919" s="51">
        <v>46.619</v>
      </c>
      <c r="AC3919" s="52">
        <f t="shared" si="593"/>
        <v>0.33143704654130618</v>
      </c>
    </row>
    <row r="3920" spans="27:29">
      <c r="AA3920" s="50">
        <v>288.5</v>
      </c>
      <c r="AB3920" s="51">
        <v>45.334000000000003</v>
      </c>
      <c r="AC3920" s="52">
        <f t="shared" si="593"/>
        <v>0.34357595971284793</v>
      </c>
    </row>
    <row r="3921" spans="27:29">
      <c r="AA3921" s="50">
        <v>288.39999999999998</v>
      </c>
      <c r="AB3921" s="51">
        <v>43.811</v>
      </c>
      <c r="AC3921" s="52">
        <f t="shared" si="593"/>
        <v>0.3584168337991035</v>
      </c>
    </row>
    <row r="3922" spans="27:29">
      <c r="AA3922" s="50">
        <v>288.3</v>
      </c>
      <c r="AB3922" s="51">
        <v>42.390999999999998</v>
      </c>
      <c r="AC3922" s="52">
        <f t="shared" si="593"/>
        <v>0.37272633834191393</v>
      </c>
    </row>
    <row r="3923" spans="27:29">
      <c r="AA3923" s="50">
        <v>288.2</v>
      </c>
      <c r="AB3923" s="51">
        <v>40.865000000000002</v>
      </c>
      <c r="AC3923" s="52">
        <f t="shared" si="593"/>
        <v>0.38864849674518087</v>
      </c>
    </row>
    <row r="3924" spans="27:29">
      <c r="AA3924" s="50">
        <v>288.10000000000002</v>
      </c>
      <c r="AB3924" s="51">
        <v>39.313000000000002</v>
      </c>
      <c r="AC3924" s="52">
        <f t="shared" si="593"/>
        <v>0.40546381362757006</v>
      </c>
    </row>
    <row r="3925" spans="27:29">
      <c r="AA3925" s="50">
        <v>288</v>
      </c>
      <c r="AB3925" s="51">
        <v>37.994</v>
      </c>
      <c r="AC3925" s="52">
        <f t="shared" si="593"/>
        <v>0.42028498161033501</v>
      </c>
    </row>
    <row r="3926" spans="27:29">
      <c r="AA3926" s="50">
        <v>287.89999999999998</v>
      </c>
      <c r="AB3926" s="51">
        <v>36.795000000000002</v>
      </c>
      <c r="AC3926" s="52">
        <f t="shared" si="593"/>
        <v>0.43421119273793307</v>
      </c>
    </row>
    <row r="3927" spans="27:29">
      <c r="AA3927" s="50">
        <v>287.8</v>
      </c>
      <c r="AB3927" s="51">
        <v>35.927</v>
      </c>
      <c r="AC3927" s="52">
        <f t="shared" si="593"/>
        <v>0.44457904602500015</v>
      </c>
    </row>
    <row r="3928" spans="27:29">
      <c r="AA3928" s="50">
        <v>287.7</v>
      </c>
      <c r="AB3928" s="51">
        <v>35.444000000000003</v>
      </c>
      <c r="AC3928" s="52">
        <f t="shared" si="593"/>
        <v>0.45045727211511893</v>
      </c>
    </row>
    <row r="3929" spans="27:29">
      <c r="AA3929" s="50">
        <v>287.60000000000002</v>
      </c>
      <c r="AB3929" s="51">
        <v>35.322000000000003</v>
      </c>
      <c r="AC3929" s="52">
        <f t="shared" si="593"/>
        <v>0.45195471380418734</v>
      </c>
    </row>
    <row r="3930" spans="27:29">
      <c r="AA3930" s="50">
        <v>287.5</v>
      </c>
      <c r="AB3930" s="51">
        <v>35.685000000000002</v>
      </c>
      <c r="AC3930" s="52">
        <f t="shared" si="593"/>
        <v>0.44751429890705252</v>
      </c>
    </row>
    <row r="3931" spans="27:29">
      <c r="AA3931" s="50">
        <v>287.39999999999998</v>
      </c>
      <c r="AB3931" s="51">
        <v>36.445</v>
      </c>
      <c r="AC3931" s="52">
        <f t="shared" si="593"/>
        <v>0.43836204543539325</v>
      </c>
    </row>
    <row r="3932" spans="27:29">
      <c r="AA3932" s="50">
        <v>287.3</v>
      </c>
      <c r="AB3932" s="51">
        <v>37.631999999999998</v>
      </c>
      <c r="AC3932" s="52">
        <f t="shared" si="593"/>
        <v>0.42444269993997435</v>
      </c>
    </row>
    <row r="3933" spans="27:29">
      <c r="AA3933" s="50">
        <v>287.2</v>
      </c>
      <c r="AB3933" s="51">
        <v>39.133000000000003</v>
      </c>
      <c r="AC3933" s="52">
        <f t="shared" si="593"/>
        <v>0.40745685709538831</v>
      </c>
    </row>
    <row r="3934" spans="27:29">
      <c r="AA3934" s="50">
        <v>287.10000000000002</v>
      </c>
      <c r="AB3934" s="51">
        <v>40.911000000000001</v>
      </c>
      <c r="AC3934" s="52">
        <f t="shared" si="593"/>
        <v>0.38815990477994289</v>
      </c>
    </row>
    <row r="3935" spans="27:29">
      <c r="AA3935" s="50">
        <v>287</v>
      </c>
      <c r="AB3935" s="51">
        <v>42.898000000000003</v>
      </c>
      <c r="AC3935" s="52">
        <f t="shared" si="593"/>
        <v>0.3675629551162376</v>
      </c>
    </row>
    <row r="3936" spans="27:29">
      <c r="AA3936" s="50">
        <v>286.89999999999998</v>
      </c>
      <c r="AB3936" s="51">
        <v>45.012</v>
      </c>
      <c r="AC3936" s="52">
        <f t="shared" si="593"/>
        <v>0.34667168980165242</v>
      </c>
    </row>
    <row r="3937" spans="27:31">
      <c r="AA3937" s="50">
        <v>286.8</v>
      </c>
      <c r="AB3937" s="51">
        <v>47.015000000000001</v>
      </c>
      <c r="AC3937" s="52">
        <f t="shared" si="593"/>
        <v>0.32776355955545255</v>
      </c>
    </row>
    <row r="3938" spans="27:31">
      <c r="AA3938" s="50">
        <v>286.7</v>
      </c>
      <c r="AB3938" s="51">
        <v>49.174999999999997</v>
      </c>
      <c r="AC3938" s="52">
        <f t="shared" si="593"/>
        <v>0.30825563140862572</v>
      </c>
    </row>
    <row r="3939" spans="27:31">
      <c r="AA3939" s="50">
        <v>286.60000000000002</v>
      </c>
      <c r="AB3939" s="51">
        <v>51.079000000000001</v>
      </c>
      <c r="AC3939" s="52">
        <f t="shared" si="593"/>
        <v>0.29175761373307574</v>
      </c>
    </row>
    <row r="3940" spans="27:31">
      <c r="AA3940" s="50">
        <v>286.5</v>
      </c>
      <c r="AB3940" s="51">
        <v>52.805</v>
      </c>
      <c r="AC3940" s="52">
        <f t="shared" si="593"/>
        <v>0.27732495304194382</v>
      </c>
    </row>
    <row r="3941" spans="27:31">
      <c r="AA3941" s="50">
        <v>286.39999999999998</v>
      </c>
      <c r="AB3941" s="51">
        <v>54.383000000000003</v>
      </c>
      <c r="AC3941" s="52">
        <f t="shared" si="593"/>
        <v>0.264536838537619</v>
      </c>
    </row>
    <row r="3942" spans="27:31">
      <c r="AA3942" s="50">
        <v>286.3</v>
      </c>
      <c r="AB3942" s="51">
        <v>55.831000000000003</v>
      </c>
      <c r="AC3942" s="52">
        <f t="shared" si="593"/>
        <v>0.25312459334619392</v>
      </c>
    </row>
    <row r="3943" spans="27:31">
      <c r="AA3943" s="50">
        <v>286.2</v>
      </c>
      <c r="AB3943" s="51">
        <v>57.134</v>
      </c>
      <c r="AC3943" s="52">
        <f t="shared" si="593"/>
        <v>0.2431053695484911</v>
      </c>
    </row>
    <row r="3944" spans="27:31">
      <c r="AA3944" s="50">
        <v>286.10000000000002</v>
      </c>
      <c r="AB3944" s="51">
        <v>58.098999999999997</v>
      </c>
      <c r="AC3944" s="52">
        <f t="shared" si="593"/>
        <v>0.23583134262205172</v>
      </c>
    </row>
    <row r="3945" spans="27:31">
      <c r="AA3945" s="50">
        <v>286</v>
      </c>
      <c r="AB3945" s="51">
        <v>58.795999999999999</v>
      </c>
      <c r="AC3945" s="52">
        <f t="shared" si="593"/>
        <v>0.230652218771106</v>
      </c>
    </row>
    <row r="3946" spans="27:31">
      <c r="AA3946" s="50">
        <v>285.89999999999998</v>
      </c>
      <c r="AB3946" s="51">
        <v>59.343000000000004</v>
      </c>
      <c r="AC3946" s="52">
        <f t="shared" si="593"/>
        <v>0.22663050233140386</v>
      </c>
    </row>
    <row r="3947" spans="27:31">
      <c r="AA3947" s="50">
        <v>285.8</v>
      </c>
      <c r="AB3947" s="51">
        <v>59.673999999999999</v>
      </c>
      <c r="AC3947" s="52">
        <f t="shared" si="593"/>
        <v>0.22421485004422037</v>
      </c>
    </row>
    <row r="3948" spans="27:31">
      <c r="AA3948" s="50">
        <v>285.7</v>
      </c>
      <c r="AB3948" s="51">
        <v>60.103999999999999</v>
      </c>
      <c r="AC3948" s="52">
        <f t="shared" si="593"/>
        <v>0.22109662416829878</v>
      </c>
    </row>
    <row r="3949" spans="27:31">
      <c r="AA3949" s="50">
        <v>285.60000000000002</v>
      </c>
      <c r="AB3949" s="51">
        <v>60.372</v>
      </c>
      <c r="AC3949" s="52">
        <f t="shared" si="593"/>
        <v>0.21916443662662699</v>
      </c>
    </row>
    <row r="3950" spans="27:31">
      <c r="AA3950" s="50">
        <v>285.5</v>
      </c>
      <c r="AB3950" s="51">
        <v>60.688000000000002</v>
      </c>
      <c r="AC3950" s="52">
        <f t="shared" si="593"/>
        <v>0.21689717464128469</v>
      </c>
      <c r="AD3950">
        <f>LARGE(AC3950:AC4070,4)</f>
        <v>0.5132579044660126</v>
      </c>
      <c r="AE3950" t="s">
        <v>346</v>
      </c>
    </row>
    <row r="3951" spans="27:31">
      <c r="AA3951" s="50">
        <v>285.39999999999998</v>
      </c>
      <c r="AB3951" s="51">
        <v>60.790999999999997</v>
      </c>
      <c r="AC3951" s="52">
        <f t="shared" si="593"/>
        <v>0.2161607124979433</v>
      </c>
      <c r="AD3951">
        <f>SMALL(AC3950:AC4070,4)</f>
        <v>0.21344022063841345</v>
      </c>
      <c r="AE3951" t="s">
        <v>347</v>
      </c>
    </row>
    <row r="3952" spans="27:31">
      <c r="AA3952" s="50">
        <v>285.3</v>
      </c>
      <c r="AB3952" s="51">
        <v>60.944000000000003</v>
      </c>
      <c r="AC3952" s="52">
        <f t="shared" si="593"/>
        <v>0.21506904468312901</v>
      </c>
    </row>
    <row r="3953" spans="27:29">
      <c r="AA3953" s="50">
        <v>285.2</v>
      </c>
      <c r="AB3953" s="51">
        <v>61.023000000000003</v>
      </c>
      <c r="AC3953" s="52">
        <f t="shared" si="593"/>
        <v>0.21450644547402564</v>
      </c>
    </row>
    <row r="3954" spans="27:29">
      <c r="AA3954" s="50">
        <v>285.10000000000002</v>
      </c>
      <c r="AB3954" s="51">
        <v>61.12</v>
      </c>
      <c r="AC3954" s="52">
        <f t="shared" si="593"/>
        <v>0.2138166544323665</v>
      </c>
    </row>
    <row r="3955" spans="27:29">
      <c r="AA3955" s="50">
        <v>285</v>
      </c>
      <c r="AB3955" s="51">
        <v>61.295999999999999</v>
      </c>
      <c r="AC3955" s="52">
        <f t="shared" si="593"/>
        <v>0.21256786536099753</v>
      </c>
    </row>
    <row r="3956" spans="27:29">
      <c r="AA3956" s="50">
        <v>284.89999999999998</v>
      </c>
      <c r="AB3956" s="51">
        <v>61.302</v>
      </c>
      <c r="AC3956" s="52">
        <f t="shared" si="593"/>
        <v>0.21252535623534291</v>
      </c>
    </row>
    <row r="3957" spans="27:29">
      <c r="AA3957" s="50">
        <v>284.8</v>
      </c>
      <c r="AB3957" s="51">
        <v>61.292000000000002</v>
      </c>
      <c r="AC3957" s="52">
        <f t="shared" si="593"/>
        <v>0.21259620708984908</v>
      </c>
    </row>
    <row r="3958" spans="27:29">
      <c r="AA3958" s="50">
        <v>284.7</v>
      </c>
      <c r="AB3958" s="51">
        <v>61.173000000000002</v>
      </c>
      <c r="AC3958" s="52">
        <f t="shared" si="593"/>
        <v>0.21344022063841345</v>
      </c>
    </row>
    <row r="3959" spans="27:29">
      <c r="AA3959" s="50">
        <v>284.60000000000002</v>
      </c>
      <c r="AB3959" s="51">
        <v>61.063000000000002</v>
      </c>
      <c r="AC3959" s="52">
        <f t="shared" si="593"/>
        <v>0.21422186280446928</v>
      </c>
    </row>
    <row r="3960" spans="27:29">
      <c r="AA3960" s="50">
        <v>284.5</v>
      </c>
      <c r="AB3960" s="51">
        <v>61.067</v>
      </c>
      <c r="AC3960" s="52">
        <f t="shared" si="593"/>
        <v>0.21419341479123363</v>
      </c>
    </row>
    <row r="3961" spans="27:29">
      <c r="AA3961" s="50">
        <v>284.39999999999998</v>
      </c>
      <c r="AB3961" s="51">
        <v>61.140999999999998</v>
      </c>
      <c r="AC3961" s="52">
        <f t="shared" si="593"/>
        <v>0.21366746238895676</v>
      </c>
    </row>
    <row r="3962" spans="27:29">
      <c r="AA3962" s="50">
        <v>284.3</v>
      </c>
      <c r="AB3962" s="51">
        <v>60.997999999999998</v>
      </c>
      <c r="AC3962" s="52">
        <f t="shared" si="593"/>
        <v>0.21468440438600808</v>
      </c>
    </row>
    <row r="3963" spans="27:29">
      <c r="AA3963" s="50">
        <v>284.2</v>
      </c>
      <c r="AB3963" s="51">
        <v>60.948999999999998</v>
      </c>
      <c r="AC3963" s="52">
        <f t="shared" si="593"/>
        <v>0.21503341552623348</v>
      </c>
    </row>
    <row r="3964" spans="27:29">
      <c r="AA3964" s="50">
        <v>284.10000000000002</v>
      </c>
      <c r="AB3964" s="51">
        <v>60.988999999999997</v>
      </c>
      <c r="AC3964" s="52">
        <f t="shared" si="593"/>
        <v>0.21474848744968245</v>
      </c>
    </row>
    <row r="3965" spans="27:29">
      <c r="AA3965" s="50">
        <v>284</v>
      </c>
      <c r="AB3965" s="51">
        <v>60.978000000000002</v>
      </c>
      <c r="AC3965" s="52">
        <f t="shared" si="593"/>
        <v>0.2148268240376757</v>
      </c>
    </row>
    <row r="3966" spans="27:29">
      <c r="AA3966" s="50">
        <v>283.89999999999998</v>
      </c>
      <c r="AB3966" s="51">
        <v>60.924999999999997</v>
      </c>
      <c r="AC3966" s="52">
        <f t="shared" si="593"/>
        <v>0.2152044621432381</v>
      </c>
    </row>
    <row r="3967" spans="27:29">
      <c r="AA3967" s="50">
        <v>283.8</v>
      </c>
      <c r="AB3967" s="51">
        <v>60.67</v>
      </c>
      <c r="AC3967" s="52">
        <f t="shared" si="593"/>
        <v>0.21702600505595174</v>
      </c>
    </row>
    <row r="3968" spans="27:29">
      <c r="AA3968" s="50">
        <v>283.7</v>
      </c>
      <c r="AB3968" s="51">
        <v>60.545000000000002</v>
      </c>
      <c r="AC3968" s="52">
        <f t="shared" si="593"/>
        <v>0.21792171646924635</v>
      </c>
    </row>
    <row r="3969" spans="27:29">
      <c r="AA3969" s="50">
        <v>283.60000000000002</v>
      </c>
      <c r="AB3969" s="51">
        <v>60.451000000000001</v>
      </c>
      <c r="AC3969" s="52">
        <f t="shared" si="593"/>
        <v>0.21859651050395765</v>
      </c>
    </row>
    <row r="3970" spans="27:29">
      <c r="AA3970" s="50">
        <v>283.5</v>
      </c>
      <c r="AB3970" s="51">
        <v>60.442999999999998</v>
      </c>
      <c r="AC3970" s="52">
        <f t="shared" si="593"/>
        <v>0.21865398822593385</v>
      </c>
    </row>
    <row r="3971" spans="27:29">
      <c r="AA3971" s="50">
        <v>283.39999999999998</v>
      </c>
      <c r="AB3971" s="51">
        <v>60.283999999999999</v>
      </c>
      <c r="AC3971" s="52">
        <f t="shared" si="593"/>
        <v>0.21979793883429355</v>
      </c>
    </row>
    <row r="3972" spans="27:29">
      <c r="AA3972" s="50">
        <v>283.3</v>
      </c>
      <c r="AB3972" s="51">
        <v>60.017000000000003</v>
      </c>
      <c r="AC3972" s="52">
        <f t="shared" si="593"/>
        <v>0.22172571694195639</v>
      </c>
    </row>
    <row r="3973" spans="27:29">
      <c r="AA3973" s="50">
        <v>283.2</v>
      </c>
      <c r="AB3973" s="51">
        <v>59.77</v>
      </c>
      <c r="AC3973" s="52">
        <f t="shared" si="593"/>
        <v>0.22351674416631839</v>
      </c>
    </row>
    <row r="3974" spans="27:29">
      <c r="AA3974" s="50">
        <v>283.10000000000002</v>
      </c>
      <c r="AB3974" s="51">
        <v>59.62</v>
      </c>
      <c r="AC3974" s="52">
        <f t="shared" si="593"/>
        <v>0.22460802830338808</v>
      </c>
    </row>
    <row r="3975" spans="27:29">
      <c r="AA3975" s="50">
        <v>283</v>
      </c>
      <c r="AB3975" s="51">
        <v>59.628</v>
      </c>
      <c r="AC3975" s="52">
        <f t="shared" si="593"/>
        <v>0.22454975720684237</v>
      </c>
    </row>
    <row r="3976" spans="27:29">
      <c r="AA3976" s="50">
        <v>282.89999999999998</v>
      </c>
      <c r="AB3976" s="51">
        <v>59.399000000000001</v>
      </c>
      <c r="AC3976" s="52">
        <f t="shared" si="593"/>
        <v>0.22622086643526471</v>
      </c>
    </row>
    <row r="3977" spans="27:29">
      <c r="AA3977" s="50">
        <v>282.8</v>
      </c>
      <c r="AB3977" s="51">
        <v>59.24</v>
      </c>
      <c r="AC3977" s="52">
        <f t="shared" si="593"/>
        <v>0.2273849501508291</v>
      </c>
    </row>
    <row r="3978" spans="27:29">
      <c r="AA3978" s="50">
        <v>282.7</v>
      </c>
      <c r="AB3978" s="51">
        <v>58.91</v>
      </c>
      <c r="AC3978" s="52">
        <f t="shared" ref="AC3978:AC4041" si="594">-LOG(AB3978/100)</f>
        <v>0.22981097726400673</v>
      </c>
    </row>
    <row r="3979" spans="27:29">
      <c r="AA3979" s="50">
        <v>282.60000000000002</v>
      </c>
      <c r="AB3979" s="51">
        <v>58.624000000000002</v>
      </c>
      <c r="AC3979" s="52">
        <f t="shared" si="594"/>
        <v>0.23192455234826245</v>
      </c>
    </row>
    <row r="3980" spans="27:29">
      <c r="AA3980" s="50">
        <v>282.5</v>
      </c>
      <c r="AB3980" s="51">
        <v>58.274999999999999</v>
      </c>
      <c r="AC3980" s="52">
        <f t="shared" si="594"/>
        <v>0.2345177178073857</v>
      </c>
    </row>
    <row r="3981" spans="27:29">
      <c r="AA3981" s="50">
        <v>282.39999999999998</v>
      </c>
      <c r="AB3981" s="51">
        <v>57.988</v>
      </c>
      <c r="AC3981" s="52">
        <f t="shared" si="594"/>
        <v>0.23666186976432821</v>
      </c>
    </row>
    <row r="3982" spans="27:29">
      <c r="AA3982" s="50">
        <v>282.3</v>
      </c>
      <c r="AB3982" s="51">
        <v>57.731000000000002</v>
      </c>
      <c r="AC3982" s="52">
        <f t="shared" si="594"/>
        <v>0.23859091971043675</v>
      </c>
    </row>
    <row r="3983" spans="27:29">
      <c r="AA3983" s="50">
        <v>282.2</v>
      </c>
      <c r="AB3983" s="51">
        <v>57.451000000000001</v>
      </c>
      <c r="AC3983" s="52">
        <f t="shared" si="594"/>
        <v>0.24070240752047956</v>
      </c>
    </row>
    <row r="3984" spans="27:29">
      <c r="AA3984" s="50">
        <v>282.10000000000002</v>
      </c>
      <c r="AB3984" s="51">
        <v>57.094000000000001</v>
      </c>
      <c r="AC3984" s="52">
        <f t="shared" si="594"/>
        <v>0.24340952929892343</v>
      </c>
    </row>
    <row r="3985" spans="27:29">
      <c r="AA3985" s="50">
        <v>282</v>
      </c>
      <c r="AB3985" s="51">
        <v>56.713999999999999</v>
      </c>
      <c r="AC3985" s="52">
        <f t="shared" si="594"/>
        <v>0.24630972113817376</v>
      </c>
    </row>
    <row r="3986" spans="27:29">
      <c r="AA3986" s="50">
        <v>281.89999999999998</v>
      </c>
      <c r="AB3986" s="51">
        <v>56.392000000000003</v>
      </c>
      <c r="AC3986" s="52">
        <f t="shared" si="594"/>
        <v>0.2487825024401816</v>
      </c>
    </row>
    <row r="3987" spans="27:29">
      <c r="AA3987" s="50">
        <v>281.8</v>
      </c>
      <c r="AB3987" s="51">
        <v>55.972000000000001</v>
      </c>
      <c r="AC3987" s="52">
        <f t="shared" si="594"/>
        <v>0.25202917453966384</v>
      </c>
    </row>
    <row r="3988" spans="27:29">
      <c r="AA3988" s="50">
        <v>281.7</v>
      </c>
      <c r="AB3988" s="51">
        <v>55.676000000000002</v>
      </c>
      <c r="AC3988" s="52">
        <f t="shared" si="594"/>
        <v>0.25433197383444173</v>
      </c>
    </row>
    <row r="3989" spans="27:29">
      <c r="AA3989" s="50">
        <v>281.60000000000002</v>
      </c>
      <c r="AB3989" s="51">
        <v>55.295000000000002</v>
      </c>
      <c r="AC3989" s="52">
        <f t="shared" si="594"/>
        <v>0.25731413760277483</v>
      </c>
    </row>
    <row r="3990" spans="27:29">
      <c r="AA3990" s="50">
        <v>281.5</v>
      </c>
      <c r="AB3990" s="51">
        <v>54.914999999999999</v>
      </c>
      <c r="AC3990" s="52">
        <f t="shared" si="594"/>
        <v>0.26030901206278767</v>
      </c>
    </row>
    <row r="3991" spans="27:29">
      <c r="AA3991" s="50">
        <v>281.39999999999998</v>
      </c>
      <c r="AB3991" s="51">
        <v>54.456000000000003</v>
      </c>
      <c r="AC3991" s="52">
        <f t="shared" si="594"/>
        <v>0.26395426240345798</v>
      </c>
    </row>
    <row r="3992" spans="27:29">
      <c r="AA3992" s="50">
        <v>281.3</v>
      </c>
      <c r="AB3992" s="51">
        <v>53.853999999999999</v>
      </c>
      <c r="AC3992" s="52">
        <f t="shared" si="594"/>
        <v>0.26878203399252393</v>
      </c>
    </row>
    <row r="3993" spans="27:29">
      <c r="AA3993" s="50">
        <v>281.2</v>
      </c>
      <c r="AB3993" s="51">
        <v>53.209000000000003</v>
      </c>
      <c r="AC3993" s="52">
        <f t="shared" si="594"/>
        <v>0.27401490304789361</v>
      </c>
    </row>
    <row r="3994" spans="27:29">
      <c r="AA3994" s="50">
        <v>281.10000000000002</v>
      </c>
      <c r="AB3994" s="51">
        <v>52.503</v>
      </c>
      <c r="AC3994" s="52">
        <f t="shared" si="594"/>
        <v>0.27981588047553102</v>
      </c>
    </row>
    <row r="3995" spans="27:29">
      <c r="AA3995" s="50">
        <v>281</v>
      </c>
      <c r="AB3995" s="51">
        <v>51.743000000000002</v>
      </c>
      <c r="AC3995" s="52">
        <f t="shared" si="594"/>
        <v>0.28614839499181527</v>
      </c>
    </row>
    <row r="3996" spans="27:29">
      <c r="AA3996" s="50">
        <v>280.89999999999998</v>
      </c>
      <c r="AB3996" s="51">
        <v>50.878</v>
      </c>
      <c r="AC3996" s="52">
        <f t="shared" si="594"/>
        <v>0.29346996901914679</v>
      </c>
    </row>
    <row r="3997" spans="27:29">
      <c r="AA3997" s="50">
        <v>280.8</v>
      </c>
      <c r="AB3997" s="51">
        <v>49.805999999999997</v>
      </c>
      <c r="AC3997" s="52">
        <f t="shared" si="594"/>
        <v>0.30271833575574197</v>
      </c>
    </row>
    <row r="3998" spans="27:29">
      <c r="AA3998" s="50">
        <v>280.7</v>
      </c>
      <c r="AB3998" s="51">
        <v>48.643000000000001</v>
      </c>
      <c r="AC3998" s="52">
        <f t="shared" si="594"/>
        <v>0.31297964830629227</v>
      </c>
    </row>
    <row r="3999" spans="27:29">
      <c r="AA3999" s="50">
        <v>280.60000000000002</v>
      </c>
      <c r="AB3999" s="51">
        <v>47.262</v>
      </c>
      <c r="AC3999" s="52">
        <f t="shared" si="594"/>
        <v>0.32548790414703999</v>
      </c>
    </row>
    <row r="4000" spans="27:29">
      <c r="AA4000" s="50">
        <v>280.5</v>
      </c>
      <c r="AB4000" s="51">
        <v>45.834000000000003</v>
      </c>
      <c r="AC4000" s="52">
        <f t="shared" si="594"/>
        <v>0.33881223958867657</v>
      </c>
    </row>
    <row r="4001" spans="27:29">
      <c r="AA4001" s="50">
        <v>280.39999999999998</v>
      </c>
      <c r="AB4001" s="51">
        <v>44.274999999999999</v>
      </c>
      <c r="AC4001" s="52">
        <f t="shared" si="594"/>
        <v>0.35384143013788766</v>
      </c>
    </row>
    <row r="4002" spans="27:29">
      <c r="AA4002" s="50">
        <v>280.3</v>
      </c>
      <c r="AB4002" s="51">
        <v>42.613999999999997</v>
      </c>
      <c r="AC4002" s="52">
        <f t="shared" si="594"/>
        <v>0.37044769845868297</v>
      </c>
    </row>
    <row r="4003" spans="27:29">
      <c r="AA4003" s="50">
        <v>280.2</v>
      </c>
      <c r="AB4003" s="51">
        <v>40.774000000000001</v>
      </c>
      <c r="AC4003" s="52">
        <f t="shared" si="594"/>
        <v>0.38961668141723876</v>
      </c>
    </row>
    <row r="4004" spans="27:29">
      <c r="AA4004" s="50">
        <v>280.10000000000002</v>
      </c>
      <c r="AB4004" s="51">
        <v>38.895000000000003</v>
      </c>
      <c r="AC4004" s="52">
        <f t="shared" si="594"/>
        <v>0.41010622417496728</v>
      </c>
    </row>
    <row r="4005" spans="27:29">
      <c r="AA4005" s="50">
        <v>280</v>
      </c>
      <c r="AB4005" s="51">
        <v>37.133000000000003</v>
      </c>
      <c r="AC4005" s="52">
        <f t="shared" si="594"/>
        <v>0.43023996241365042</v>
      </c>
    </row>
    <row r="4006" spans="27:29">
      <c r="AA4006" s="50">
        <v>279.89999999999998</v>
      </c>
      <c r="AB4006" s="51">
        <v>35.451999999999998</v>
      </c>
      <c r="AC4006" s="52">
        <f t="shared" si="594"/>
        <v>0.45035925936771509</v>
      </c>
    </row>
    <row r="4007" spans="27:29">
      <c r="AA4007" s="50">
        <v>279.8</v>
      </c>
      <c r="AB4007" s="51">
        <v>33.942</v>
      </c>
      <c r="AC4007" s="52">
        <f t="shared" si="594"/>
        <v>0.46926257087594714</v>
      </c>
    </row>
    <row r="4008" spans="27:29">
      <c r="AA4008" s="50">
        <v>279.7</v>
      </c>
      <c r="AB4008" s="51">
        <v>32.597999999999999</v>
      </c>
      <c r="AC4008" s="52">
        <f t="shared" si="594"/>
        <v>0.48680904458263552</v>
      </c>
    </row>
    <row r="4009" spans="27:29">
      <c r="AA4009" s="50">
        <v>279.60000000000002</v>
      </c>
      <c r="AB4009" s="51">
        <v>31.521999999999998</v>
      </c>
      <c r="AC4009" s="52">
        <f t="shared" si="594"/>
        <v>0.50138623530024196</v>
      </c>
    </row>
    <row r="4010" spans="27:29">
      <c r="AA4010" s="50">
        <v>279.5</v>
      </c>
      <c r="AB4010" s="51">
        <v>30.672000000000001</v>
      </c>
      <c r="AC4010" s="52">
        <f t="shared" si="594"/>
        <v>0.5132579044660126</v>
      </c>
    </row>
    <row r="4011" spans="27:29">
      <c r="AA4011" s="50">
        <v>279.39999999999998</v>
      </c>
      <c r="AB4011" s="51">
        <v>30.207999999999998</v>
      </c>
      <c r="AC4011" s="52">
        <f t="shared" si="594"/>
        <v>0.51987802738202515</v>
      </c>
    </row>
    <row r="4012" spans="27:29">
      <c r="AA4012" s="50">
        <v>279.3</v>
      </c>
      <c r="AB4012" s="51">
        <v>30.146999999999998</v>
      </c>
      <c r="AC4012" s="52">
        <f t="shared" si="594"/>
        <v>0.52075589905517594</v>
      </c>
    </row>
    <row r="4013" spans="27:29">
      <c r="AA4013" s="50">
        <v>279.2</v>
      </c>
      <c r="AB4013" s="51">
        <v>30.492999999999999</v>
      </c>
      <c r="AC4013" s="52">
        <f t="shared" si="594"/>
        <v>0.51579984623636865</v>
      </c>
    </row>
    <row r="4014" spans="27:29">
      <c r="AA4014" s="50">
        <v>279.10000000000002</v>
      </c>
      <c r="AB4014" s="51">
        <v>31.241</v>
      </c>
      <c r="AC4014" s="52">
        <f t="shared" si="594"/>
        <v>0.50527507314521369</v>
      </c>
    </row>
    <row r="4015" spans="27:29">
      <c r="AA4015" s="50">
        <v>279</v>
      </c>
      <c r="AB4015" s="51">
        <v>32.255000000000003</v>
      </c>
      <c r="AC4015" s="52">
        <f t="shared" si="594"/>
        <v>0.49140295376993148</v>
      </c>
    </row>
    <row r="4016" spans="27:29">
      <c r="AA4016" s="50">
        <v>278.89999999999998</v>
      </c>
      <c r="AB4016" s="51">
        <v>33.476999999999997</v>
      </c>
      <c r="AC4016" s="52">
        <f t="shared" si="594"/>
        <v>0.47525346769855398</v>
      </c>
    </row>
    <row r="4017" spans="27:29">
      <c r="AA4017" s="50">
        <v>278.8</v>
      </c>
      <c r="AB4017" s="51">
        <v>34.875</v>
      </c>
      <c r="AC4017" s="52">
        <f t="shared" si="594"/>
        <v>0.45748578371834603</v>
      </c>
    </row>
    <row r="4018" spans="27:29">
      <c r="AA4018" s="50">
        <v>278.7</v>
      </c>
      <c r="AB4018" s="51">
        <v>36.363</v>
      </c>
      <c r="AC4018" s="52">
        <f t="shared" si="594"/>
        <v>0.43934029405019809</v>
      </c>
    </row>
    <row r="4019" spans="27:29">
      <c r="AA4019" s="50">
        <v>278.60000000000002</v>
      </c>
      <c r="AB4019" s="51">
        <v>37.969000000000001</v>
      </c>
      <c r="AC4019" s="52">
        <f t="shared" si="594"/>
        <v>0.42057084084284485</v>
      </c>
    </row>
    <row r="4020" spans="27:29">
      <c r="AA4020" s="50">
        <v>278.5</v>
      </c>
      <c r="AB4020" s="51">
        <v>39.700000000000003</v>
      </c>
      <c r="AC4020" s="52">
        <f t="shared" si="594"/>
        <v>0.40120949323688493</v>
      </c>
    </row>
    <row r="4021" spans="27:29">
      <c r="AA4021" s="50">
        <v>278.39999999999998</v>
      </c>
      <c r="AB4021" s="51">
        <v>41.274000000000001</v>
      </c>
      <c r="AC4021" s="52">
        <f t="shared" si="594"/>
        <v>0.38432344016675507</v>
      </c>
    </row>
    <row r="4022" spans="27:29">
      <c r="AA4022" s="50">
        <v>278.3</v>
      </c>
      <c r="AB4022" s="51">
        <v>42.707000000000001</v>
      </c>
      <c r="AC4022" s="52">
        <f t="shared" si="594"/>
        <v>0.36950093499335568</v>
      </c>
    </row>
    <row r="4023" spans="27:29">
      <c r="AA4023" s="50">
        <v>278.2</v>
      </c>
      <c r="AB4023" s="51">
        <v>44.015000000000001</v>
      </c>
      <c r="AC4023" s="52">
        <f t="shared" si="594"/>
        <v>0.35639929380770297</v>
      </c>
    </row>
    <row r="4024" spans="27:29">
      <c r="AA4024" s="50">
        <v>278.10000000000002</v>
      </c>
      <c r="AB4024" s="51">
        <v>45.142000000000003</v>
      </c>
      <c r="AC4024" s="52">
        <f t="shared" si="594"/>
        <v>0.34541920357189737</v>
      </c>
    </row>
    <row r="4025" spans="27:29">
      <c r="AA4025" s="50">
        <v>278</v>
      </c>
      <c r="AB4025" s="51">
        <v>46.179000000000002</v>
      </c>
      <c r="AC4025" s="52">
        <f t="shared" si="594"/>
        <v>0.33555547590529033</v>
      </c>
    </row>
    <row r="4026" spans="27:29">
      <c r="AA4026" s="50">
        <v>277.89999999999998</v>
      </c>
      <c r="AB4026" s="51">
        <v>47.048999999999999</v>
      </c>
      <c r="AC4026" s="52">
        <f t="shared" si="594"/>
        <v>0.32744960282327501</v>
      </c>
    </row>
    <row r="4027" spans="27:29">
      <c r="AA4027" s="50">
        <v>277.8</v>
      </c>
      <c r="AB4027" s="51">
        <v>47.774000000000001</v>
      </c>
      <c r="AC4027" s="52">
        <f t="shared" si="594"/>
        <v>0.32080839478110595</v>
      </c>
    </row>
    <row r="4028" spans="27:29">
      <c r="AA4028" s="50">
        <v>277.7</v>
      </c>
      <c r="AB4028" s="51">
        <v>48.377000000000002</v>
      </c>
      <c r="AC4028" s="52">
        <f t="shared" si="594"/>
        <v>0.3153610670167743</v>
      </c>
    </row>
    <row r="4029" spans="27:29">
      <c r="AA4029" s="50">
        <v>277.60000000000002</v>
      </c>
      <c r="AB4029" s="51">
        <v>48.89</v>
      </c>
      <c r="AC4029" s="52">
        <f t="shared" si="594"/>
        <v>0.31077996273616443</v>
      </c>
    </row>
    <row r="4030" spans="27:29">
      <c r="AA4030" s="50">
        <v>277.5</v>
      </c>
      <c r="AB4030" s="51">
        <v>49.253</v>
      </c>
      <c r="AC4030" s="52">
        <f t="shared" si="594"/>
        <v>0.30756731148584981</v>
      </c>
    </row>
    <row r="4031" spans="27:29">
      <c r="AA4031" s="50">
        <v>277.39999999999998</v>
      </c>
      <c r="AB4031" s="51">
        <v>49.61</v>
      </c>
      <c r="AC4031" s="52">
        <f t="shared" si="594"/>
        <v>0.30443077296381443</v>
      </c>
    </row>
    <row r="4032" spans="27:29">
      <c r="AA4032" s="50">
        <v>277.3</v>
      </c>
      <c r="AB4032" s="51">
        <v>49.792000000000002</v>
      </c>
      <c r="AC4032" s="52">
        <f t="shared" si="594"/>
        <v>0.30284042902642389</v>
      </c>
    </row>
    <row r="4033" spans="27:29">
      <c r="AA4033" s="50">
        <v>277.2</v>
      </c>
      <c r="AB4033" s="51">
        <v>50.039000000000001</v>
      </c>
      <c r="AC4033" s="52">
        <f t="shared" si="594"/>
        <v>0.30069137801181978</v>
      </c>
    </row>
    <row r="4034" spans="27:29">
      <c r="AA4034" s="50">
        <v>277.10000000000002</v>
      </c>
      <c r="AB4034" s="51">
        <v>50.206000000000003</v>
      </c>
      <c r="AC4034" s="52">
        <f t="shared" si="594"/>
        <v>0.29924437824978728</v>
      </c>
    </row>
    <row r="4035" spans="27:29">
      <c r="AA4035" s="50">
        <v>277</v>
      </c>
      <c r="AB4035" s="51">
        <v>50.29</v>
      </c>
      <c r="AC4035" s="52">
        <f t="shared" si="594"/>
        <v>0.29851836437907286</v>
      </c>
    </row>
    <row r="4036" spans="27:29">
      <c r="AA4036" s="50">
        <v>276.89999999999998</v>
      </c>
      <c r="AB4036" s="51">
        <v>50.287999999999997</v>
      </c>
      <c r="AC4036" s="52">
        <f t="shared" si="594"/>
        <v>0.29853563632649521</v>
      </c>
    </row>
    <row r="4037" spans="27:29">
      <c r="AA4037" s="50">
        <v>276.8</v>
      </c>
      <c r="AB4037" s="51">
        <v>50.280999999999999</v>
      </c>
      <c r="AC4037" s="52">
        <f t="shared" si="594"/>
        <v>0.29859609355244421</v>
      </c>
    </row>
    <row r="4038" spans="27:29">
      <c r="AA4038" s="50">
        <v>276.7</v>
      </c>
      <c r="AB4038" s="51">
        <v>50.405999999999999</v>
      </c>
      <c r="AC4038" s="52">
        <f t="shared" si="594"/>
        <v>0.29751776490767801</v>
      </c>
    </row>
    <row r="4039" spans="27:29">
      <c r="AA4039" s="50">
        <v>276.60000000000002</v>
      </c>
      <c r="AB4039" s="51">
        <v>50.451999999999998</v>
      </c>
      <c r="AC4039" s="52">
        <f t="shared" si="594"/>
        <v>0.29712161294050116</v>
      </c>
    </row>
    <row r="4040" spans="27:29">
      <c r="AA4040" s="50">
        <v>276.5</v>
      </c>
      <c r="AB4040" s="51">
        <v>50.545999999999999</v>
      </c>
      <c r="AC4040" s="52">
        <f t="shared" si="594"/>
        <v>0.29631320697035529</v>
      </c>
    </row>
    <row r="4041" spans="27:29">
      <c r="AA4041" s="50">
        <v>276.39999999999998</v>
      </c>
      <c r="AB4041" s="51">
        <v>50.613999999999997</v>
      </c>
      <c r="AC4041" s="52">
        <f t="shared" si="594"/>
        <v>0.2957293392515436</v>
      </c>
    </row>
    <row r="4042" spans="27:29">
      <c r="AA4042" s="50">
        <v>276.3</v>
      </c>
      <c r="AB4042" s="51">
        <v>50.627000000000002</v>
      </c>
      <c r="AC4042" s="52">
        <f t="shared" ref="AC4042:AC4105" si="595">-LOG(AB4042/100)</f>
        <v>0.29561780680331068</v>
      </c>
    </row>
    <row r="4043" spans="27:29">
      <c r="AA4043" s="50">
        <v>276.2</v>
      </c>
      <c r="AB4043" s="51">
        <v>50.713999999999999</v>
      </c>
      <c r="AC4043" s="52">
        <f t="shared" si="595"/>
        <v>0.29487213369553045</v>
      </c>
    </row>
    <row r="4044" spans="27:29">
      <c r="AA4044" s="50">
        <v>276.10000000000002</v>
      </c>
      <c r="AB4044" s="51">
        <v>50.686</v>
      </c>
      <c r="AC4044" s="52">
        <f t="shared" si="595"/>
        <v>0.29511198075277634</v>
      </c>
    </row>
    <row r="4045" spans="27:29">
      <c r="AA4045" s="50">
        <v>276</v>
      </c>
      <c r="AB4045" s="51">
        <v>50.725000000000001</v>
      </c>
      <c r="AC4045" s="52">
        <f t="shared" si="595"/>
        <v>0.2947779442946164</v>
      </c>
    </row>
    <row r="4046" spans="27:29">
      <c r="AA4046" s="50">
        <v>275.89999999999998</v>
      </c>
      <c r="AB4046" s="51">
        <v>50.67</v>
      </c>
      <c r="AC4046" s="52">
        <f t="shared" si="595"/>
        <v>0.29524909570932889</v>
      </c>
    </row>
    <row r="4047" spans="27:29">
      <c r="AA4047" s="50">
        <v>275.8</v>
      </c>
      <c r="AB4047" s="51">
        <v>50.604999999999997</v>
      </c>
      <c r="AC4047" s="52">
        <f t="shared" si="595"/>
        <v>0.29580657080584521</v>
      </c>
    </row>
    <row r="4048" spans="27:29">
      <c r="AA4048" s="50">
        <v>275.7</v>
      </c>
      <c r="AB4048" s="51">
        <v>50.497</v>
      </c>
      <c r="AC4048" s="52">
        <f t="shared" si="595"/>
        <v>0.29673442231988811</v>
      </c>
    </row>
    <row r="4049" spans="27:29">
      <c r="AA4049" s="50">
        <v>275.60000000000002</v>
      </c>
      <c r="AB4049" s="51">
        <v>50.332000000000001</v>
      </c>
      <c r="AC4049" s="52">
        <f t="shared" si="595"/>
        <v>0.29815581206845987</v>
      </c>
    </row>
    <row r="4050" spans="27:29">
      <c r="AA4050" s="50">
        <v>275.5</v>
      </c>
      <c r="AB4050" s="51">
        <v>50.316000000000003</v>
      </c>
      <c r="AC4050" s="52">
        <f t="shared" si="595"/>
        <v>0.29829389154880692</v>
      </c>
    </row>
    <row r="4051" spans="27:29">
      <c r="AA4051" s="50">
        <v>275.39999999999998</v>
      </c>
      <c r="AB4051" s="51">
        <v>50.279000000000003</v>
      </c>
      <c r="AC4051" s="52">
        <f t="shared" si="595"/>
        <v>0.29861336859150384</v>
      </c>
    </row>
    <row r="4052" spans="27:29">
      <c r="AA4052" s="50">
        <v>275.3</v>
      </c>
      <c r="AB4052" s="51">
        <v>50.171999999999997</v>
      </c>
      <c r="AC4052" s="52">
        <f t="shared" si="595"/>
        <v>0.29953858640196052</v>
      </c>
    </row>
    <row r="4053" spans="27:29">
      <c r="AA4053" s="50">
        <v>275.2</v>
      </c>
      <c r="AB4053" s="51">
        <v>50.185000000000002</v>
      </c>
      <c r="AC4053" s="52">
        <f t="shared" si="595"/>
        <v>0.29942607151418338</v>
      </c>
    </row>
    <row r="4054" spans="27:29">
      <c r="AA4054" s="50">
        <v>275.10000000000002</v>
      </c>
      <c r="AB4054" s="51">
        <v>50.13</v>
      </c>
      <c r="AC4054" s="52">
        <f t="shared" si="595"/>
        <v>0.29990229538694618</v>
      </c>
    </row>
    <row r="4055" spans="27:29">
      <c r="AA4055" s="50">
        <v>275</v>
      </c>
      <c r="AB4055" s="51">
        <v>50.106000000000002</v>
      </c>
      <c r="AC4055" s="52">
        <f t="shared" si="595"/>
        <v>0.3001102659317576</v>
      </c>
    </row>
    <row r="4056" spans="27:29">
      <c r="AA4056" s="50">
        <v>274.89999999999998</v>
      </c>
      <c r="AB4056" s="51">
        <v>50.136000000000003</v>
      </c>
      <c r="AC4056" s="52">
        <f t="shared" si="595"/>
        <v>0.2998503183080854</v>
      </c>
    </row>
    <row r="4057" spans="27:29">
      <c r="AA4057" s="50">
        <v>274.8</v>
      </c>
      <c r="AB4057" s="51">
        <v>50.15</v>
      </c>
      <c r="AC4057" s="52">
        <f t="shared" si="595"/>
        <v>0.29972906264356314</v>
      </c>
    </row>
    <row r="4058" spans="27:29">
      <c r="AA4058" s="50">
        <v>274.7</v>
      </c>
      <c r="AB4058" s="51">
        <v>50.064</v>
      </c>
      <c r="AC4058" s="52">
        <f t="shared" si="595"/>
        <v>0.30047445419788193</v>
      </c>
    </row>
    <row r="4059" spans="27:29">
      <c r="AA4059" s="50">
        <v>274.60000000000002</v>
      </c>
      <c r="AB4059" s="51">
        <v>49.97</v>
      </c>
      <c r="AC4059" s="52">
        <f t="shared" si="595"/>
        <v>0.30129065055741316</v>
      </c>
    </row>
    <row r="4060" spans="27:29">
      <c r="AA4060" s="50">
        <v>274.5</v>
      </c>
      <c r="AB4060" s="51">
        <v>50.003</v>
      </c>
      <c r="AC4060" s="52">
        <f t="shared" si="595"/>
        <v>0.30100393877676584</v>
      </c>
    </row>
    <row r="4061" spans="27:29">
      <c r="AA4061" s="50">
        <v>274.39999999999998</v>
      </c>
      <c r="AB4061" s="51">
        <v>50.018999999999998</v>
      </c>
      <c r="AC4061" s="52">
        <f t="shared" si="595"/>
        <v>0.30086499510897824</v>
      </c>
    </row>
    <row r="4062" spans="27:29">
      <c r="AA4062" s="50">
        <v>274.3</v>
      </c>
      <c r="AB4062" s="51">
        <v>50.064999999999998</v>
      </c>
      <c r="AC4062" s="52">
        <f t="shared" si="595"/>
        <v>0.3004657794986057</v>
      </c>
    </row>
    <row r="4063" spans="27:29">
      <c r="AA4063" s="50">
        <v>274.2</v>
      </c>
      <c r="AB4063" s="51">
        <v>50.094000000000001</v>
      </c>
      <c r="AC4063" s="52">
        <f t="shared" si="595"/>
        <v>0.30021428856265092</v>
      </c>
    </row>
    <row r="4064" spans="27:29">
      <c r="AA4064" s="50">
        <v>274.10000000000002</v>
      </c>
      <c r="AB4064" s="51">
        <v>50.094999999999999</v>
      </c>
      <c r="AC4064" s="52">
        <f t="shared" si="595"/>
        <v>0.30020561905837567</v>
      </c>
    </row>
    <row r="4065" spans="27:29">
      <c r="AA4065" s="50">
        <v>274</v>
      </c>
      <c r="AB4065" s="51">
        <v>50.040999999999997</v>
      </c>
      <c r="AC4065" s="52">
        <f t="shared" si="595"/>
        <v>0.30067402011885569</v>
      </c>
    </row>
    <row r="4066" spans="27:29">
      <c r="AA4066" s="50">
        <v>273.89999999999998</v>
      </c>
      <c r="AB4066" s="51">
        <v>50.042000000000002</v>
      </c>
      <c r="AC4066" s="52">
        <f t="shared" si="595"/>
        <v>0.30066534143252704</v>
      </c>
    </row>
    <row r="4067" spans="27:29">
      <c r="AA4067" s="50">
        <v>273.8</v>
      </c>
      <c r="AB4067" s="51">
        <v>50.067999999999998</v>
      </c>
      <c r="AC4067" s="52">
        <f t="shared" si="595"/>
        <v>0.30043975644035109</v>
      </c>
    </row>
    <row r="4068" spans="27:29">
      <c r="AA4068" s="50">
        <v>273.7</v>
      </c>
      <c r="AB4068" s="51">
        <v>50.18</v>
      </c>
      <c r="AC4068" s="52">
        <f t="shared" si="595"/>
        <v>0.29946934302140826</v>
      </c>
    </row>
    <row r="4069" spans="27:29">
      <c r="AA4069" s="50">
        <v>273.60000000000002</v>
      </c>
      <c r="AB4069" s="51">
        <v>50.145000000000003</v>
      </c>
      <c r="AC4069" s="52">
        <f t="shared" si="595"/>
        <v>0.2997723643517502</v>
      </c>
    </row>
    <row r="4070" spans="27:29">
      <c r="AA4070" s="50">
        <v>273.5</v>
      </c>
      <c r="AB4070" s="51">
        <v>50.136000000000003</v>
      </c>
      <c r="AC4070" s="52">
        <f t="shared" si="595"/>
        <v>0.2998503183080854</v>
      </c>
    </row>
    <row r="4071" spans="27:29">
      <c r="AA4071" s="50">
        <v>273.39999999999998</v>
      </c>
      <c r="AB4071" s="51">
        <v>50.027999999999999</v>
      </c>
      <c r="AC4071" s="52">
        <f t="shared" si="595"/>
        <v>0.30078685882607786</v>
      </c>
    </row>
    <row r="4072" spans="27:29">
      <c r="AA4072" s="50">
        <v>273.3</v>
      </c>
      <c r="AB4072" s="51">
        <v>50.031999999999996</v>
      </c>
      <c r="AC4072" s="52">
        <f t="shared" si="595"/>
        <v>0.30075213610114199</v>
      </c>
    </row>
    <row r="4073" spans="27:29">
      <c r="AA4073" s="50">
        <v>273.2</v>
      </c>
      <c r="AB4073" s="51">
        <v>50.026000000000003</v>
      </c>
      <c r="AC4073" s="52">
        <f t="shared" si="595"/>
        <v>0.30080422122965828</v>
      </c>
    </row>
    <row r="4074" spans="27:29">
      <c r="AA4074" s="50">
        <v>273.10000000000002</v>
      </c>
      <c r="AB4074" s="51">
        <v>50.131</v>
      </c>
      <c r="AC4074" s="52">
        <f t="shared" si="595"/>
        <v>0.2998936321084647</v>
      </c>
    </row>
    <row r="4075" spans="27:29">
      <c r="AA4075" s="50">
        <v>273</v>
      </c>
      <c r="AB4075" s="51">
        <v>50.091999999999999</v>
      </c>
      <c r="AC4075" s="52">
        <f t="shared" si="595"/>
        <v>0.30023162809040776</v>
      </c>
    </row>
    <row r="4076" spans="27:29">
      <c r="AA4076" s="50">
        <v>272.89999999999998</v>
      </c>
      <c r="AB4076" s="51">
        <v>50.027000000000001</v>
      </c>
      <c r="AC4076" s="52">
        <f t="shared" si="595"/>
        <v>0.30079553994110286</v>
      </c>
    </row>
    <row r="4077" spans="27:29">
      <c r="AA4077" s="50">
        <v>272.8</v>
      </c>
      <c r="AB4077" s="51">
        <v>49.93</v>
      </c>
      <c r="AC4077" s="52">
        <f t="shared" si="595"/>
        <v>0.30163843394489026</v>
      </c>
    </row>
    <row r="4078" spans="27:29">
      <c r="AA4078" s="50">
        <v>272.7</v>
      </c>
      <c r="AB4078" s="51">
        <v>49.915999999999997</v>
      </c>
      <c r="AC4078" s="52">
        <f t="shared" si="595"/>
        <v>0.30176022395723912</v>
      </c>
    </row>
    <row r="4079" spans="27:29">
      <c r="AA4079" s="50">
        <v>272.60000000000002</v>
      </c>
      <c r="AB4079" s="51">
        <v>49.918999999999997</v>
      </c>
      <c r="AC4079" s="52">
        <f t="shared" si="595"/>
        <v>0.30173412322210413</v>
      </c>
    </row>
    <row r="4080" spans="27:29">
      <c r="AA4080" s="50">
        <v>272.5</v>
      </c>
      <c r="AB4080" s="51">
        <v>49.872999999999998</v>
      </c>
      <c r="AC4080" s="52">
        <f t="shared" si="595"/>
        <v>0.3021345069719541</v>
      </c>
    </row>
    <row r="4081" spans="27:29">
      <c r="AA4081" s="50">
        <v>272.39999999999998</v>
      </c>
      <c r="AB4081" s="51">
        <v>49.877000000000002</v>
      </c>
      <c r="AC4081" s="52">
        <f t="shared" si="595"/>
        <v>0.30209967633679524</v>
      </c>
    </row>
    <row r="4082" spans="27:29">
      <c r="AA4082" s="50">
        <v>272.3</v>
      </c>
      <c r="AB4082" s="51">
        <v>49.75</v>
      </c>
      <c r="AC4082" s="52">
        <f t="shared" si="595"/>
        <v>0.30320691491825574</v>
      </c>
    </row>
    <row r="4083" spans="27:29">
      <c r="AA4083" s="50">
        <v>272.2</v>
      </c>
      <c r="AB4083" s="51">
        <v>49.628999999999998</v>
      </c>
      <c r="AC4083" s="52">
        <f t="shared" si="595"/>
        <v>0.30426447553524333</v>
      </c>
    </row>
    <row r="4084" spans="27:29">
      <c r="AA4084" s="50">
        <v>272.10000000000002</v>
      </c>
      <c r="AB4084" s="51">
        <v>49.542000000000002</v>
      </c>
      <c r="AC4084" s="52">
        <f t="shared" si="595"/>
        <v>0.30502646502044434</v>
      </c>
    </row>
    <row r="4085" spans="27:29">
      <c r="AA4085" s="50">
        <v>272</v>
      </c>
      <c r="AB4085" s="51">
        <v>49.508000000000003</v>
      </c>
      <c r="AC4085" s="52">
        <f t="shared" si="595"/>
        <v>0.30532461773048292</v>
      </c>
    </row>
    <row r="4086" spans="27:29">
      <c r="AA4086" s="50">
        <v>271.89999999999998</v>
      </c>
      <c r="AB4086" s="51">
        <v>49.448</v>
      </c>
      <c r="AC4086" s="52">
        <f t="shared" si="595"/>
        <v>0.30585126941623098</v>
      </c>
    </row>
    <row r="4087" spans="27:29">
      <c r="AA4087" s="50">
        <v>271.8</v>
      </c>
      <c r="AB4087" s="51">
        <v>49.401000000000003</v>
      </c>
      <c r="AC4087" s="52">
        <f t="shared" si="595"/>
        <v>0.30626425977906013</v>
      </c>
    </row>
    <row r="4088" spans="27:29">
      <c r="AA4088" s="50">
        <v>271.7</v>
      </c>
      <c r="AB4088" s="51">
        <v>49.35</v>
      </c>
      <c r="AC4088" s="52">
        <f t="shared" si="595"/>
        <v>0.30671284299434448</v>
      </c>
    </row>
    <row r="4089" spans="27:29">
      <c r="AA4089" s="50">
        <v>271.60000000000002</v>
      </c>
      <c r="AB4089" s="51">
        <v>49.226999999999997</v>
      </c>
      <c r="AC4089" s="52">
        <f t="shared" si="595"/>
        <v>0.30779663026716259</v>
      </c>
    </row>
    <row r="4090" spans="27:29">
      <c r="AA4090" s="50">
        <v>271.5</v>
      </c>
      <c r="AB4090" s="51">
        <v>49.052999999999997</v>
      </c>
      <c r="AC4090" s="52">
        <f t="shared" si="595"/>
        <v>0.30933442674267075</v>
      </c>
    </row>
    <row r="4091" spans="27:29">
      <c r="AA4091" s="50">
        <v>271.39999999999998</v>
      </c>
      <c r="AB4091" s="51">
        <v>48.845999999999997</v>
      </c>
      <c r="AC4091" s="52">
        <f t="shared" si="595"/>
        <v>0.31117099487365119</v>
      </c>
    </row>
    <row r="4092" spans="27:29">
      <c r="AA4092" s="50">
        <v>271.3</v>
      </c>
      <c r="AB4092" s="51">
        <v>48.704000000000001</v>
      </c>
      <c r="AC4092" s="52">
        <f t="shared" si="595"/>
        <v>0.31243536924554</v>
      </c>
    </row>
    <row r="4093" spans="27:29">
      <c r="AA4093" s="50">
        <v>271.2</v>
      </c>
      <c r="AB4093" s="51">
        <v>48.637999999999998</v>
      </c>
      <c r="AC4093" s="52">
        <f t="shared" si="595"/>
        <v>0.31302429160583545</v>
      </c>
    </row>
    <row r="4094" spans="27:29">
      <c r="AA4094" s="50">
        <v>271.10000000000002</v>
      </c>
      <c r="AB4094" s="51">
        <v>48.533999999999999</v>
      </c>
      <c r="AC4094" s="52">
        <f t="shared" si="595"/>
        <v>0.31395391420007346</v>
      </c>
    </row>
    <row r="4095" spans="27:29">
      <c r="AA4095" s="50">
        <v>271</v>
      </c>
      <c r="AB4095" s="51">
        <v>48.421999999999997</v>
      </c>
      <c r="AC4095" s="52">
        <f t="shared" si="595"/>
        <v>0.31495727662444584</v>
      </c>
    </row>
    <row r="4096" spans="27:29">
      <c r="AA4096" s="50">
        <v>270.89999999999998</v>
      </c>
      <c r="AB4096" s="51">
        <v>48.222000000000001</v>
      </c>
      <c r="AC4096" s="52">
        <f t="shared" si="595"/>
        <v>0.31675478128848505</v>
      </c>
    </row>
    <row r="4097" spans="27:29">
      <c r="AA4097" s="50">
        <v>270.8</v>
      </c>
      <c r="AB4097" s="51">
        <v>48.142000000000003</v>
      </c>
      <c r="AC4097" s="52">
        <f t="shared" si="595"/>
        <v>0.31747587145772066</v>
      </c>
    </row>
    <row r="4098" spans="27:29">
      <c r="AA4098" s="50">
        <v>270.7</v>
      </c>
      <c r="AB4098" s="51">
        <v>48.085999999999999</v>
      </c>
      <c r="AC4098" s="52">
        <f t="shared" si="595"/>
        <v>0.31798134790391303</v>
      </c>
    </row>
    <row r="4099" spans="27:29">
      <c r="AA4099" s="50">
        <v>270.60000000000002</v>
      </c>
      <c r="AB4099" s="51">
        <v>48.143000000000001</v>
      </c>
      <c r="AC4099" s="52">
        <f t="shared" si="595"/>
        <v>0.31746685043716877</v>
      </c>
    </row>
    <row r="4100" spans="27:29">
      <c r="AA4100" s="50">
        <v>270.5</v>
      </c>
      <c r="AB4100" s="51">
        <v>48.082000000000001</v>
      </c>
      <c r="AC4100" s="52">
        <f t="shared" si="595"/>
        <v>0.31801747588678914</v>
      </c>
    </row>
    <row r="4101" spans="27:29">
      <c r="AA4101" s="50">
        <v>270.39999999999998</v>
      </c>
      <c r="AB4101" s="51">
        <v>48.026000000000003</v>
      </c>
      <c r="AC4101" s="52">
        <f t="shared" si="595"/>
        <v>0.31852358346865456</v>
      </c>
    </row>
    <row r="4102" spans="27:29">
      <c r="AA4102" s="50">
        <v>270.3</v>
      </c>
      <c r="AB4102" s="51">
        <v>47.871000000000002</v>
      </c>
      <c r="AC4102" s="52">
        <f t="shared" si="595"/>
        <v>0.31992750024009486</v>
      </c>
    </row>
    <row r="4103" spans="27:29">
      <c r="AA4103" s="50">
        <v>270.2</v>
      </c>
      <c r="AB4103" s="51">
        <v>47.755000000000003</v>
      </c>
      <c r="AC4103" s="52">
        <f t="shared" si="595"/>
        <v>0.32098115059902443</v>
      </c>
    </row>
    <row r="4104" spans="27:29">
      <c r="AA4104" s="50">
        <v>270.10000000000002</v>
      </c>
      <c r="AB4104" s="51">
        <v>47.665999999999997</v>
      </c>
      <c r="AC4104" s="52">
        <f t="shared" si="595"/>
        <v>0.32179129134577489</v>
      </c>
    </row>
    <row r="4105" spans="27:29">
      <c r="AA4105" s="50">
        <v>270</v>
      </c>
      <c r="AB4105" s="51">
        <v>47.698</v>
      </c>
      <c r="AC4105" s="52">
        <f t="shared" si="595"/>
        <v>0.32149983075388455</v>
      </c>
    </row>
    <row r="4106" spans="27:29">
      <c r="AA4106" s="50">
        <v>269.89999999999998</v>
      </c>
      <c r="AB4106" s="51">
        <v>47.762</v>
      </c>
      <c r="AC4106" s="52">
        <f t="shared" ref="AC4106:AC4169" si="596">-LOG(AB4106/100)</f>
        <v>0.32091749572337375</v>
      </c>
    </row>
    <row r="4107" spans="27:29">
      <c r="AA4107" s="50">
        <v>269.8</v>
      </c>
      <c r="AB4107" s="51">
        <v>47.704000000000001</v>
      </c>
      <c r="AC4107" s="52">
        <f t="shared" si="596"/>
        <v>0.32144520366231716</v>
      </c>
    </row>
    <row r="4108" spans="27:29">
      <c r="AA4108" s="50">
        <v>269.7</v>
      </c>
      <c r="AB4108" s="51">
        <v>47.66</v>
      </c>
      <c r="AC4108" s="52">
        <f t="shared" si="596"/>
        <v>0.32184596198956272</v>
      </c>
    </row>
    <row r="4109" spans="27:29">
      <c r="AA4109" s="50">
        <v>269.60000000000002</v>
      </c>
      <c r="AB4109" s="51">
        <v>47.601999999999997</v>
      </c>
      <c r="AC4109" s="52">
        <f t="shared" si="596"/>
        <v>0.32237479999554364</v>
      </c>
    </row>
    <row r="4110" spans="27:29">
      <c r="AA4110" s="50">
        <v>269.5</v>
      </c>
      <c r="AB4110" s="51">
        <v>47.526000000000003</v>
      </c>
      <c r="AC4110" s="52">
        <f t="shared" si="596"/>
        <v>0.32306873632653077</v>
      </c>
    </row>
    <row r="4111" spans="27:29">
      <c r="AA4111" s="50">
        <v>269.39999999999998</v>
      </c>
      <c r="AB4111" s="51">
        <v>47.491999999999997</v>
      </c>
      <c r="AC4111" s="52">
        <f t="shared" si="596"/>
        <v>0.32337954086914222</v>
      </c>
    </row>
    <row r="4112" spans="27:29">
      <c r="AA4112" s="50">
        <v>269.3</v>
      </c>
      <c r="AB4112" s="51">
        <v>47.438000000000002</v>
      </c>
      <c r="AC4112" s="52">
        <f t="shared" si="596"/>
        <v>0.32387362924062202</v>
      </c>
    </row>
    <row r="4113" spans="27:29">
      <c r="AA4113" s="50">
        <v>269.2</v>
      </c>
      <c r="AB4113" s="51">
        <v>47.341999999999999</v>
      </c>
      <c r="AC4113" s="52">
        <f t="shared" si="596"/>
        <v>0.32475339890764504</v>
      </c>
    </row>
    <row r="4114" spans="27:29">
      <c r="AA4114" s="50">
        <v>269.10000000000002</v>
      </c>
      <c r="AB4114" s="51">
        <v>47.216999999999999</v>
      </c>
      <c r="AC4114" s="52">
        <f t="shared" si="596"/>
        <v>0.32590160990521899</v>
      </c>
    </row>
    <row r="4115" spans="27:29">
      <c r="AA4115" s="50">
        <v>269</v>
      </c>
      <c r="AB4115" s="51">
        <v>47.133000000000003</v>
      </c>
      <c r="AC4115" s="52">
        <f t="shared" si="596"/>
        <v>0.32667491665918919</v>
      </c>
    </row>
    <row r="4116" spans="27:29">
      <c r="AA4116" s="50">
        <v>268.89999999999998</v>
      </c>
      <c r="AB4116" s="51">
        <v>47.012</v>
      </c>
      <c r="AC4116" s="52">
        <f t="shared" si="596"/>
        <v>0.327791272519732</v>
      </c>
    </row>
    <row r="4117" spans="27:29">
      <c r="AA4117" s="50">
        <v>268.8</v>
      </c>
      <c r="AB4117" s="51">
        <v>46.923999999999999</v>
      </c>
      <c r="AC4117" s="52">
        <f t="shared" si="596"/>
        <v>0.32860497388209842</v>
      </c>
    </row>
    <row r="4118" spans="27:29">
      <c r="AA4118" s="50">
        <v>268.7</v>
      </c>
      <c r="AB4118" s="51">
        <v>46.837000000000003</v>
      </c>
      <c r="AC4118" s="52">
        <f t="shared" si="596"/>
        <v>0.32941093010631228</v>
      </c>
    </row>
    <row r="4119" spans="27:29">
      <c r="AA4119" s="50">
        <v>268.60000000000002</v>
      </c>
      <c r="AB4119" s="51">
        <v>46.76</v>
      </c>
      <c r="AC4119" s="52">
        <f t="shared" si="596"/>
        <v>0.33012549751019754</v>
      </c>
    </row>
    <row r="4120" spans="27:29">
      <c r="AA4120" s="50">
        <v>268.5</v>
      </c>
      <c r="AB4120" s="51">
        <v>46.761000000000003</v>
      </c>
      <c r="AC4120" s="52">
        <f t="shared" si="596"/>
        <v>0.33011620987465207</v>
      </c>
    </row>
    <row r="4121" spans="27:29">
      <c r="AA4121" s="50">
        <v>268.39999999999998</v>
      </c>
      <c r="AB4121" s="51">
        <v>46.718000000000004</v>
      </c>
      <c r="AC4121" s="52">
        <f t="shared" si="596"/>
        <v>0.33051575766696917</v>
      </c>
    </row>
    <row r="4122" spans="27:29">
      <c r="AA4122" s="50">
        <v>268.3</v>
      </c>
      <c r="AB4122" s="51">
        <v>46.472999999999999</v>
      </c>
      <c r="AC4122" s="52">
        <f t="shared" si="596"/>
        <v>0.3327992913388228</v>
      </c>
    </row>
    <row r="4123" spans="27:29">
      <c r="AA4123" s="50">
        <v>268.2</v>
      </c>
      <c r="AB4123" s="51">
        <v>46.316000000000003</v>
      </c>
      <c r="AC4123" s="52">
        <f t="shared" si="596"/>
        <v>0.33426895474132001</v>
      </c>
    </row>
    <row r="4124" spans="27:29">
      <c r="AA4124" s="50">
        <v>268.10000000000002</v>
      </c>
      <c r="AB4124" s="51">
        <v>46.134999999999998</v>
      </c>
      <c r="AC4124" s="52">
        <f t="shared" si="596"/>
        <v>0.33596947505278263</v>
      </c>
    </row>
    <row r="4125" spans="27:29">
      <c r="AA4125" s="50">
        <v>268</v>
      </c>
      <c r="AB4125" s="51">
        <v>46.082000000000001</v>
      </c>
      <c r="AC4125" s="52">
        <f t="shared" si="596"/>
        <v>0.33646868040700656</v>
      </c>
    </row>
    <row r="4126" spans="27:29">
      <c r="AA4126" s="50">
        <v>267.89999999999998</v>
      </c>
      <c r="AB4126" s="51">
        <v>45.970999999999997</v>
      </c>
      <c r="AC4126" s="52">
        <f t="shared" si="596"/>
        <v>0.33751604900674287</v>
      </c>
    </row>
    <row r="4127" spans="27:29">
      <c r="AA4127" s="50">
        <v>267.8</v>
      </c>
      <c r="AB4127" s="51">
        <v>45.86</v>
      </c>
      <c r="AC4127" s="52">
        <f t="shared" si="596"/>
        <v>0.33856594960607994</v>
      </c>
    </row>
    <row r="4128" spans="27:29">
      <c r="AA4128" s="50">
        <v>267.7</v>
      </c>
      <c r="AB4128" s="51">
        <v>45.744</v>
      </c>
      <c r="AC4128" s="52">
        <f t="shared" si="596"/>
        <v>0.33966586198608634</v>
      </c>
    </row>
    <row r="4129" spans="27:29">
      <c r="AA4129" s="50">
        <v>267.60000000000002</v>
      </c>
      <c r="AB4129" s="51">
        <v>45.585999999999999</v>
      </c>
      <c r="AC4129" s="52">
        <f t="shared" si="596"/>
        <v>0.34116851383315061</v>
      </c>
    </row>
    <row r="4130" spans="27:29">
      <c r="AA4130" s="50">
        <v>267.5</v>
      </c>
      <c r="AB4130" s="51">
        <v>45.465000000000003</v>
      </c>
      <c r="AC4130" s="52">
        <f t="shared" si="596"/>
        <v>0.34232280457669645</v>
      </c>
    </row>
    <row r="4131" spans="27:29">
      <c r="AA4131" s="50">
        <v>267.39999999999998</v>
      </c>
      <c r="AB4131" s="51">
        <v>45.433</v>
      </c>
      <c r="AC4131" s="52">
        <f t="shared" si="596"/>
        <v>0.34262858520982431</v>
      </c>
    </row>
    <row r="4132" spans="27:29">
      <c r="AA4132" s="50">
        <v>267.3</v>
      </c>
      <c r="AB4132" s="51">
        <v>45.350999999999999</v>
      </c>
      <c r="AC4132" s="52">
        <f t="shared" si="596"/>
        <v>0.34341313220490643</v>
      </c>
    </row>
    <row r="4133" spans="27:29">
      <c r="AA4133" s="50">
        <v>267.2</v>
      </c>
      <c r="AB4133" s="51">
        <v>45.265999999999998</v>
      </c>
      <c r="AC4133" s="52">
        <f t="shared" si="596"/>
        <v>0.3442278809118508</v>
      </c>
    </row>
    <row r="4134" spans="27:29">
      <c r="AA4134" s="50">
        <v>267.10000000000002</v>
      </c>
      <c r="AB4134" s="51">
        <v>45.084000000000003</v>
      </c>
      <c r="AC4134" s="52">
        <f t="shared" si="596"/>
        <v>0.34597755888899051</v>
      </c>
    </row>
    <row r="4135" spans="27:29">
      <c r="AA4135" s="50">
        <v>267</v>
      </c>
      <c r="AB4135" s="51">
        <v>44.927999999999997</v>
      </c>
      <c r="AC4135" s="52">
        <f t="shared" si="596"/>
        <v>0.34748291388630759</v>
      </c>
    </row>
    <row r="4136" spans="27:29">
      <c r="AA4136" s="50">
        <v>266.89999999999998</v>
      </c>
      <c r="AB4136" s="51">
        <v>44.732999999999997</v>
      </c>
      <c r="AC4136" s="52">
        <f t="shared" si="596"/>
        <v>0.34937197507223317</v>
      </c>
    </row>
    <row r="4137" spans="27:29">
      <c r="AA4137" s="50">
        <v>266.8</v>
      </c>
      <c r="AB4137" s="51">
        <v>44.585999999999999</v>
      </c>
      <c r="AC4137" s="52">
        <f t="shared" si="596"/>
        <v>0.35080148831085695</v>
      </c>
    </row>
    <row r="4138" spans="27:29">
      <c r="AA4138" s="50">
        <v>266.7</v>
      </c>
      <c r="AB4138" s="51">
        <v>44.478999999999999</v>
      </c>
      <c r="AC4138" s="52">
        <f t="shared" si="596"/>
        <v>0.35184498535054665</v>
      </c>
    </row>
    <row r="4139" spans="27:29">
      <c r="AA4139" s="50">
        <v>266.60000000000002</v>
      </c>
      <c r="AB4139" s="51">
        <v>44.401000000000003</v>
      </c>
      <c r="AC4139" s="52">
        <f t="shared" si="596"/>
        <v>0.35260724858827941</v>
      </c>
    </row>
    <row r="4140" spans="27:29">
      <c r="AA4140" s="50">
        <v>266.5</v>
      </c>
      <c r="AB4140" s="51">
        <v>44.256</v>
      </c>
      <c r="AC4140" s="52">
        <f t="shared" si="596"/>
        <v>0.35402784157078343</v>
      </c>
    </row>
    <row r="4141" spans="27:29">
      <c r="AA4141" s="50">
        <v>266.39999999999998</v>
      </c>
      <c r="AB4141" s="51">
        <v>44.036000000000001</v>
      </c>
      <c r="AC4141" s="52">
        <f t="shared" si="596"/>
        <v>0.35619213694877139</v>
      </c>
    </row>
    <row r="4142" spans="27:29">
      <c r="AA4142" s="50">
        <v>266.3</v>
      </c>
      <c r="AB4142" s="51">
        <v>43.93</v>
      </c>
      <c r="AC4142" s="52">
        <f t="shared" si="596"/>
        <v>0.35723879673467956</v>
      </c>
    </row>
    <row r="4143" spans="27:29">
      <c r="AA4143" s="50">
        <v>266.2</v>
      </c>
      <c r="AB4143" s="51">
        <v>43.774000000000001</v>
      </c>
      <c r="AC4143" s="52">
        <f t="shared" si="596"/>
        <v>0.35878376641967352</v>
      </c>
    </row>
    <row r="4144" spans="27:29">
      <c r="AA4144" s="50">
        <v>266.10000000000002</v>
      </c>
      <c r="AB4144" s="51">
        <v>43.662999999999997</v>
      </c>
      <c r="AC4144" s="52">
        <f t="shared" si="596"/>
        <v>0.35988642807064081</v>
      </c>
    </row>
    <row r="4145" spans="27:29">
      <c r="AA4145" s="50">
        <v>266</v>
      </c>
      <c r="AB4145" s="51">
        <v>43.484000000000002</v>
      </c>
      <c r="AC4145" s="52">
        <f t="shared" si="596"/>
        <v>0.36167051292922225</v>
      </c>
    </row>
    <row r="4146" spans="27:29">
      <c r="AA4146" s="50">
        <v>265.89999999999998</v>
      </c>
      <c r="AB4146" s="51">
        <v>43.326999999999998</v>
      </c>
      <c r="AC4146" s="52">
        <f t="shared" si="596"/>
        <v>0.36324138086064189</v>
      </c>
    </row>
    <row r="4147" spans="27:29">
      <c r="AA4147" s="50">
        <v>265.8</v>
      </c>
      <c r="AB4147" s="51">
        <v>43.116</v>
      </c>
      <c r="AC4147" s="52">
        <f t="shared" si="596"/>
        <v>0.3653615367477257</v>
      </c>
    </row>
    <row r="4148" spans="27:29">
      <c r="AA4148" s="50">
        <v>265.7</v>
      </c>
      <c r="AB4148" s="51">
        <v>42.966999999999999</v>
      </c>
      <c r="AC4148" s="52">
        <f t="shared" si="596"/>
        <v>0.36686496814362718</v>
      </c>
    </row>
    <row r="4149" spans="27:29">
      <c r="AA4149" s="50">
        <v>265.60000000000002</v>
      </c>
      <c r="AB4149" s="51">
        <v>42.783000000000001</v>
      </c>
      <c r="AC4149" s="52">
        <f t="shared" si="596"/>
        <v>0.36872876539878968</v>
      </c>
    </row>
    <row r="4150" spans="27:29">
      <c r="AA4150" s="50">
        <v>265.5</v>
      </c>
      <c r="AB4150" s="51">
        <v>42.595999999999997</v>
      </c>
      <c r="AC4150" s="52">
        <f t="shared" si="596"/>
        <v>0.37063118163649167</v>
      </c>
    </row>
    <row r="4151" spans="27:29">
      <c r="AA4151" s="50">
        <v>265.39999999999998</v>
      </c>
      <c r="AB4151" s="51">
        <v>42.441000000000003</v>
      </c>
      <c r="AC4151" s="52">
        <f t="shared" si="596"/>
        <v>0.37221439175077675</v>
      </c>
    </row>
    <row r="4152" spans="27:29">
      <c r="AA4152" s="50">
        <v>265.3</v>
      </c>
      <c r="AB4152" s="51">
        <v>42.27</v>
      </c>
      <c r="AC4152" s="52">
        <f t="shared" si="596"/>
        <v>0.3739677521709811</v>
      </c>
    </row>
    <row r="4153" spans="27:29">
      <c r="AA4153" s="50">
        <v>265.2</v>
      </c>
      <c r="AB4153" s="51">
        <v>42.116999999999997</v>
      </c>
      <c r="AC4153" s="52">
        <f t="shared" si="596"/>
        <v>0.37554257124359991</v>
      </c>
    </row>
    <row r="4154" spans="27:29">
      <c r="AA4154" s="50">
        <v>265.10000000000002</v>
      </c>
      <c r="AB4154" s="51">
        <v>41.942999999999998</v>
      </c>
      <c r="AC4154" s="52">
        <f t="shared" si="596"/>
        <v>0.37734050956810439</v>
      </c>
    </row>
    <row r="4155" spans="27:29">
      <c r="AA4155" s="50">
        <v>265</v>
      </c>
      <c r="AB4155" s="51">
        <v>41.755000000000003</v>
      </c>
      <c r="AC4155" s="52">
        <f t="shared" si="596"/>
        <v>0.37929151197938243</v>
      </c>
    </row>
    <row r="4156" spans="27:29">
      <c r="AA4156" s="50">
        <v>264.89999999999998</v>
      </c>
      <c r="AB4156" s="51">
        <v>41.497999999999998</v>
      </c>
      <c r="AC4156" s="52">
        <f t="shared" si="596"/>
        <v>0.38197283364680695</v>
      </c>
    </row>
    <row r="4157" spans="27:29">
      <c r="AA4157" s="50">
        <v>264.8</v>
      </c>
      <c r="AB4157" s="51">
        <v>41.350999999999999</v>
      </c>
      <c r="AC4157" s="52">
        <f t="shared" si="596"/>
        <v>0.3835139833489063</v>
      </c>
    </row>
    <row r="4158" spans="27:29">
      <c r="AA4158" s="50">
        <v>264.7</v>
      </c>
      <c r="AB4158" s="51">
        <v>41.212000000000003</v>
      </c>
      <c r="AC4158" s="52">
        <f t="shared" si="596"/>
        <v>0.38497630884625983</v>
      </c>
    </row>
    <row r="4159" spans="27:29">
      <c r="AA4159" s="50">
        <v>264.60000000000002</v>
      </c>
      <c r="AB4159" s="51">
        <v>41.045999999999999</v>
      </c>
      <c r="AC4159" s="52">
        <f t="shared" si="596"/>
        <v>0.38672915919180673</v>
      </c>
    </row>
    <row r="4160" spans="27:29">
      <c r="AA4160" s="50">
        <v>264.5</v>
      </c>
      <c r="AB4160" s="51">
        <v>40.853000000000002</v>
      </c>
      <c r="AC4160" s="52">
        <f t="shared" si="596"/>
        <v>0.38877604597106252</v>
      </c>
    </row>
    <row r="4161" spans="27:29">
      <c r="AA4161" s="50">
        <v>264.39999999999998</v>
      </c>
      <c r="AB4161" s="51">
        <v>40.692999999999998</v>
      </c>
      <c r="AC4161" s="52">
        <f t="shared" si="596"/>
        <v>0.39048029158150338</v>
      </c>
    </row>
    <row r="4162" spans="27:29">
      <c r="AA4162" s="50">
        <v>264.3</v>
      </c>
      <c r="AB4162" s="51">
        <v>40.423000000000002</v>
      </c>
      <c r="AC4162" s="52">
        <f t="shared" si="596"/>
        <v>0.39337145838386045</v>
      </c>
    </row>
    <row r="4163" spans="27:29">
      <c r="AA4163" s="50">
        <v>264.2</v>
      </c>
      <c r="AB4163" s="51">
        <v>40.204000000000001</v>
      </c>
      <c r="AC4163" s="52">
        <f t="shared" si="596"/>
        <v>0.39573073568402289</v>
      </c>
    </row>
    <row r="4164" spans="27:29">
      <c r="AA4164" s="50">
        <v>264.10000000000002</v>
      </c>
      <c r="AB4164" s="51">
        <v>40.020000000000003</v>
      </c>
      <c r="AC4164" s="52">
        <f t="shared" si="596"/>
        <v>0.39772291569980733</v>
      </c>
    </row>
    <row r="4165" spans="27:29">
      <c r="AA4165" s="50">
        <v>264</v>
      </c>
      <c r="AB4165" s="51">
        <v>39.779000000000003</v>
      </c>
      <c r="AC4165" s="52">
        <f t="shared" si="596"/>
        <v>0.40034613875659825</v>
      </c>
    </row>
    <row r="4166" spans="27:29">
      <c r="AA4166" s="50">
        <v>263.89999999999998</v>
      </c>
      <c r="AB4166" s="51">
        <v>39.506</v>
      </c>
      <c r="AC4166" s="52">
        <f t="shared" si="596"/>
        <v>0.40333694060125841</v>
      </c>
    </row>
    <row r="4167" spans="27:29">
      <c r="AA4167" s="50">
        <v>263.8</v>
      </c>
      <c r="AB4167" s="51">
        <v>39.151000000000003</v>
      </c>
      <c r="AC4167" s="52">
        <f t="shared" si="596"/>
        <v>0.40725714065749491</v>
      </c>
    </row>
    <row r="4168" spans="27:29">
      <c r="AA4168" s="50">
        <v>263.7</v>
      </c>
      <c r="AB4168" s="51">
        <v>38.744999999999997</v>
      </c>
      <c r="AC4168" s="52">
        <f t="shared" si="596"/>
        <v>0.41178433477100163</v>
      </c>
    </row>
    <row r="4169" spans="27:29">
      <c r="AA4169" s="50">
        <v>263.60000000000002</v>
      </c>
      <c r="AB4169" s="51">
        <v>38.356000000000002</v>
      </c>
      <c r="AC4169" s="52">
        <f t="shared" si="596"/>
        <v>0.41616669004429041</v>
      </c>
    </row>
    <row r="4170" spans="27:29">
      <c r="AA4170" s="50">
        <v>263.5</v>
      </c>
      <c r="AB4170" s="51">
        <v>37.994</v>
      </c>
      <c r="AC4170" s="52">
        <f t="shared" ref="AC4170:AC4233" si="597">-LOG(AB4170/100)</f>
        <v>0.42028498161033501</v>
      </c>
    </row>
    <row r="4171" spans="27:29">
      <c r="AA4171" s="50">
        <v>263.39999999999998</v>
      </c>
      <c r="AB4171" s="51">
        <v>37.722999999999999</v>
      </c>
      <c r="AC4171" s="52">
        <f t="shared" si="597"/>
        <v>0.42339377638971776</v>
      </c>
    </row>
    <row r="4172" spans="27:29">
      <c r="AA4172" s="50">
        <v>263.3</v>
      </c>
      <c r="AB4172" s="51">
        <v>37.372</v>
      </c>
      <c r="AC4172" s="52">
        <f t="shared" si="597"/>
        <v>0.42745365982438738</v>
      </c>
    </row>
    <row r="4173" spans="27:29">
      <c r="AA4173" s="50">
        <v>263.2</v>
      </c>
      <c r="AB4173" s="51">
        <v>36.948</v>
      </c>
      <c r="AC4173" s="52">
        <f t="shared" si="597"/>
        <v>0.43240906504917703</v>
      </c>
    </row>
    <row r="4174" spans="27:29">
      <c r="AA4174" s="50">
        <v>263.10000000000002</v>
      </c>
      <c r="AB4174" s="51">
        <v>36.582999999999998</v>
      </c>
      <c r="AC4174" s="52">
        <f t="shared" si="597"/>
        <v>0.43672068294865135</v>
      </c>
    </row>
    <row r="4175" spans="27:29">
      <c r="AA4175" s="50">
        <v>263</v>
      </c>
      <c r="AB4175" s="51">
        <v>36.234000000000002</v>
      </c>
      <c r="AC4175" s="52">
        <f t="shared" si="597"/>
        <v>0.44088372000803944</v>
      </c>
    </row>
    <row r="4176" spans="27:29">
      <c r="AA4176" s="50">
        <v>262.89999999999998</v>
      </c>
      <c r="AB4176" s="51">
        <v>35.942</v>
      </c>
      <c r="AC4176" s="52">
        <f t="shared" si="597"/>
        <v>0.44439776014866567</v>
      </c>
    </row>
    <row r="4177" spans="27:29">
      <c r="AA4177" s="50">
        <v>262.8</v>
      </c>
      <c r="AB4177" s="51">
        <v>35.704000000000001</v>
      </c>
      <c r="AC4177" s="52">
        <f t="shared" si="597"/>
        <v>0.44728312616752697</v>
      </c>
    </row>
    <row r="4178" spans="27:29">
      <c r="AA4178" s="50">
        <v>262.7</v>
      </c>
      <c r="AB4178" s="51">
        <v>35.427999999999997</v>
      </c>
      <c r="AC4178" s="52">
        <f t="shared" si="597"/>
        <v>0.45065336399423922</v>
      </c>
    </row>
    <row r="4179" spans="27:29">
      <c r="AA4179" s="50">
        <v>262.60000000000002</v>
      </c>
      <c r="AB4179" s="51">
        <v>35.219000000000001</v>
      </c>
      <c r="AC4179" s="52">
        <f t="shared" si="597"/>
        <v>0.45322297944902218</v>
      </c>
    </row>
    <row r="4180" spans="27:29">
      <c r="AA4180" s="50">
        <v>262.5</v>
      </c>
      <c r="AB4180" s="51">
        <v>35.085999999999999</v>
      </c>
      <c r="AC4180" s="52">
        <f t="shared" si="597"/>
        <v>0.454866140959511</v>
      </c>
    </row>
    <row r="4181" spans="27:29">
      <c r="AA4181" s="50">
        <v>262.39999999999998</v>
      </c>
      <c r="AB4181" s="51">
        <v>34.959000000000003</v>
      </c>
      <c r="AC4181" s="52">
        <f t="shared" si="597"/>
        <v>0.45644099882634531</v>
      </c>
    </row>
    <row r="4182" spans="27:29">
      <c r="AA4182" s="50">
        <v>262.3</v>
      </c>
      <c r="AB4182" s="51">
        <v>34.908000000000001</v>
      </c>
      <c r="AC4182" s="52">
        <f t="shared" si="597"/>
        <v>0.45707503270531596</v>
      </c>
    </row>
    <row r="4183" spans="27:29">
      <c r="AA4183" s="50">
        <v>262.2</v>
      </c>
      <c r="AB4183" s="51">
        <v>34.869</v>
      </c>
      <c r="AC4183" s="52">
        <f t="shared" si="597"/>
        <v>0.45756050747660043</v>
      </c>
    </row>
    <row r="4184" spans="27:29">
      <c r="AA4184" s="50">
        <v>262.10000000000002</v>
      </c>
      <c r="AB4184" s="51">
        <v>34.883000000000003</v>
      </c>
      <c r="AC4184" s="52">
        <f t="shared" si="597"/>
        <v>0.45738617203594517</v>
      </c>
    </row>
    <row r="4185" spans="27:29">
      <c r="AA4185" s="50">
        <v>262</v>
      </c>
      <c r="AB4185" s="51">
        <v>34.962000000000003</v>
      </c>
      <c r="AC4185" s="52">
        <f t="shared" si="597"/>
        <v>0.45640373152620628</v>
      </c>
    </row>
    <row r="4186" spans="27:29">
      <c r="AA4186" s="50">
        <v>261.89999999999998</v>
      </c>
      <c r="AB4186" s="51">
        <v>35.012999999999998</v>
      </c>
      <c r="AC4186" s="52">
        <f t="shared" si="597"/>
        <v>0.45577067622077189</v>
      </c>
    </row>
    <row r="4187" spans="27:29">
      <c r="AA4187" s="50">
        <v>261.8</v>
      </c>
      <c r="AB4187" s="51">
        <v>35.054000000000002</v>
      </c>
      <c r="AC4187" s="52">
        <f t="shared" si="597"/>
        <v>0.45526241767422831</v>
      </c>
    </row>
    <row r="4188" spans="27:29">
      <c r="AA4188" s="50">
        <v>261.7</v>
      </c>
      <c r="AB4188" s="51">
        <v>35.027000000000001</v>
      </c>
      <c r="AC4188" s="52">
        <f t="shared" si="597"/>
        <v>0.45559705763631664</v>
      </c>
    </row>
    <row r="4189" spans="27:29">
      <c r="AA4189" s="50">
        <v>261.60000000000002</v>
      </c>
      <c r="AB4189" s="51">
        <v>35.011000000000003</v>
      </c>
      <c r="AC4189" s="52">
        <f t="shared" si="597"/>
        <v>0.45579548454260554</v>
      </c>
    </row>
    <row r="4190" spans="27:29">
      <c r="AA4190" s="50">
        <v>261.5</v>
      </c>
      <c r="AB4190" s="51">
        <v>34.978999999999999</v>
      </c>
      <c r="AC4190" s="52">
        <f t="shared" si="597"/>
        <v>0.45619261054315635</v>
      </c>
    </row>
    <row r="4191" spans="27:29">
      <c r="AA4191" s="50">
        <v>261.39999999999998</v>
      </c>
      <c r="AB4191" s="51">
        <v>34.988</v>
      </c>
      <c r="AC4191" s="52">
        <f t="shared" si="597"/>
        <v>0.45608088214666409</v>
      </c>
    </row>
    <row r="4192" spans="27:29">
      <c r="AA4192" s="50">
        <v>261.3</v>
      </c>
      <c r="AB4192" s="51">
        <v>34.880000000000003</v>
      </c>
      <c r="AC4192" s="52">
        <f t="shared" si="597"/>
        <v>0.45742352373947037</v>
      </c>
    </row>
    <row r="4193" spans="27:29">
      <c r="AA4193" s="50">
        <v>261.2</v>
      </c>
      <c r="AB4193" s="51">
        <v>34.83</v>
      </c>
      <c r="AC4193" s="52">
        <f t="shared" si="597"/>
        <v>0.45804652554176373</v>
      </c>
    </row>
    <row r="4194" spans="27:29">
      <c r="AA4194" s="50">
        <v>261.10000000000002</v>
      </c>
      <c r="AB4194" s="51">
        <v>34.720999999999997</v>
      </c>
      <c r="AC4194" s="52">
        <f t="shared" si="597"/>
        <v>0.45940777519405435</v>
      </c>
    </row>
    <row r="4195" spans="27:29">
      <c r="AA4195" s="50">
        <v>261</v>
      </c>
      <c r="AB4195" s="51">
        <v>34.582000000000001</v>
      </c>
      <c r="AC4195" s="52">
        <f t="shared" si="597"/>
        <v>0.46114989354195368</v>
      </c>
    </row>
    <row r="4196" spans="27:29">
      <c r="AA4196" s="50">
        <v>260.89999999999998</v>
      </c>
      <c r="AB4196" s="51">
        <v>34.493000000000002</v>
      </c>
      <c r="AC4196" s="52">
        <f t="shared" si="597"/>
        <v>0.46226903158838006</v>
      </c>
    </row>
    <row r="4197" spans="27:29">
      <c r="AA4197" s="50">
        <v>260.8</v>
      </c>
      <c r="AB4197" s="51">
        <v>34.420999999999999</v>
      </c>
      <c r="AC4197" s="52">
        <f t="shared" si="597"/>
        <v>0.46317651668791021</v>
      </c>
    </row>
    <row r="4198" spans="27:29">
      <c r="AA4198" s="50">
        <v>260.7</v>
      </c>
      <c r="AB4198" s="51">
        <v>34.366</v>
      </c>
      <c r="AC4198" s="52">
        <f t="shared" si="597"/>
        <v>0.46387101424107929</v>
      </c>
    </row>
    <row r="4199" spans="27:29">
      <c r="AA4199" s="50">
        <v>260.60000000000002</v>
      </c>
      <c r="AB4199" s="51">
        <v>34.33</v>
      </c>
      <c r="AC4199" s="52">
        <f t="shared" si="597"/>
        <v>0.46432619657424989</v>
      </c>
    </row>
    <row r="4200" spans="27:29">
      <c r="AA4200" s="50">
        <v>260.5</v>
      </c>
      <c r="AB4200" s="51">
        <v>34.191000000000003</v>
      </c>
      <c r="AC4200" s="52">
        <f t="shared" si="597"/>
        <v>0.46608819700595472</v>
      </c>
    </row>
    <row r="4201" spans="27:29">
      <c r="AA4201" s="50">
        <v>260.39999999999998</v>
      </c>
      <c r="AB4201" s="51">
        <v>34.1</v>
      </c>
      <c r="AC4201" s="52">
        <f t="shared" si="597"/>
        <v>0.46724562100750222</v>
      </c>
    </row>
    <row r="4202" spans="27:29">
      <c r="AA4202" s="50">
        <v>260.3</v>
      </c>
      <c r="AB4202" s="51">
        <v>34.088999999999999</v>
      </c>
      <c r="AC4202" s="52">
        <f t="shared" si="597"/>
        <v>0.467385738602492</v>
      </c>
    </row>
    <row r="4203" spans="27:29">
      <c r="AA4203" s="50">
        <v>260.2</v>
      </c>
      <c r="AB4203" s="51">
        <v>34.119999999999997</v>
      </c>
      <c r="AC4203" s="52">
        <f t="shared" si="597"/>
        <v>0.46699097750451463</v>
      </c>
    </row>
    <row r="4204" spans="27:29">
      <c r="AA4204" s="50">
        <v>260.10000000000002</v>
      </c>
      <c r="AB4204" s="51">
        <v>34.203000000000003</v>
      </c>
      <c r="AC4204" s="52">
        <f t="shared" si="597"/>
        <v>0.46593579960746018</v>
      </c>
    </row>
    <row r="4205" spans="27:29">
      <c r="AA4205" s="50">
        <v>260</v>
      </c>
      <c r="AB4205" s="51">
        <v>34.268000000000001</v>
      </c>
      <c r="AC4205" s="52">
        <f t="shared" si="597"/>
        <v>0.46511124177119101</v>
      </c>
    </row>
    <row r="4206" spans="27:29">
      <c r="AA4206" s="50">
        <v>259.89999999999998</v>
      </c>
      <c r="AB4206" s="51">
        <v>34.36</v>
      </c>
      <c r="AC4206" s="52">
        <f t="shared" si="597"/>
        <v>0.46394684484079529</v>
      </c>
    </row>
    <row r="4207" spans="27:29">
      <c r="AA4207" s="50">
        <v>259.8</v>
      </c>
      <c r="AB4207" s="51">
        <v>34.459000000000003</v>
      </c>
      <c r="AC4207" s="52">
        <f t="shared" si="597"/>
        <v>0.46269732992871737</v>
      </c>
    </row>
    <row r="4208" spans="27:29">
      <c r="AA4208" s="50">
        <v>259.7</v>
      </c>
      <c r="AB4208" s="51">
        <v>34.548999999999999</v>
      </c>
      <c r="AC4208" s="52">
        <f t="shared" si="597"/>
        <v>0.46156451850011676</v>
      </c>
    </row>
    <row r="4209" spans="27:29">
      <c r="AA4209" s="50">
        <v>259.60000000000002</v>
      </c>
      <c r="AB4209" s="51">
        <v>34.698</v>
      </c>
      <c r="AC4209" s="52">
        <f t="shared" si="597"/>
        <v>0.45969555731276174</v>
      </c>
    </row>
    <row r="4210" spans="27:29">
      <c r="AA4210" s="50">
        <v>259.5</v>
      </c>
      <c r="AB4210" s="51">
        <v>34.86</v>
      </c>
      <c r="AC4210" s="52">
        <f t="shared" si="597"/>
        <v>0.45767261722602559</v>
      </c>
    </row>
    <row r="4211" spans="27:29">
      <c r="AA4211" s="50">
        <v>259.39999999999998</v>
      </c>
      <c r="AB4211" s="51">
        <v>34.942</v>
      </c>
      <c r="AC4211" s="52">
        <f t="shared" si="597"/>
        <v>0.45665224062082366</v>
      </c>
    </row>
    <row r="4212" spans="27:29">
      <c r="AA4212" s="50">
        <v>259.3</v>
      </c>
      <c r="AB4212" s="51">
        <v>35.036999999999999</v>
      </c>
      <c r="AC4212" s="52">
        <f t="shared" si="597"/>
        <v>0.4554730868425132</v>
      </c>
    </row>
    <row r="4213" spans="27:29">
      <c r="AA4213" s="50">
        <v>259.2</v>
      </c>
      <c r="AB4213" s="51">
        <v>35.046999999999997</v>
      </c>
      <c r="AC4213" s="52">
        <f t="shared" si="597"/>
        <v>0.45534915142648374</v>
      </c>
    </row>
    <row r="4214" spans="27:29">
      <c r="AA4214" s="50">
        <v>259.10000000000002</v>
      </c>
      <c r="AB4214" s="51">
        <v>35.101999999999997</v>
      </c>
      <c r="AC4214" s="52">
        <f t="shared" si="597"/>
        <v>0.45466813811484202</v>
      </c>
    </row>
    <row r="4215" spans="27:29">
      <c r="AA4215" s="50">
        <v>259</v>
      </c>
      <c r="AB4215" s="51">
        <v>35.113</v>
      </c>
      <c r="AC4215" s="52">
        <f t="shared" si="597"/>
        <v>0.45453206350571235</v>
      </c>
    </row>
    <row r="4216" spans="27:29">
      <c r="AA4216" s="50">
        <v>258.89999999999998</v>
      </c>
      <c r="AB4216" s="51">
        <v>35.128999999999998</v>
      </c>
      <c r="AC4216" s="52">
        <f t="shared" si="597"/>
        <v>0.45433421287985798</v>
      </c>
    </row>
    <row r="4217" spans="27:29">
      <c r="AA4217" s="50">
        <v>258.8</v>
      </c>
      <c r="AB4217" s="51">
        <v>35.133000000000003</v>
      </c>
      <c r="AC4217" s="52">
        <f t="shared" si="597"/>
        <v>0.45428476430368619</v>
      </c>
    </row>
    <row r="4218" spans="27:29">
      <c r="AA4218" s="50">
        <v>258.7</v>
      </c>
      <c r="AB4218" s="51">
        <v>35.119999999999997</v>
      </c>
      <c r="AC4218" s="52">
        <f t="shared" si="597"/>
        <v>0.4544454927659351</v>
      </c>
    </row>
    <row r="4219" spans="27:29">
      <c r="AA4219" s="50">
        <v>258.60000000000002</v>
      </c>
      <c r="AB4219" s="51">
        <v>35.058999999999997</v>
      </c>
      <c r="AC4219" s="52">
        <f t="shared" si="597"/>
        <v>0.4552004755974895</v>
      </c>
    </row>
    <row r="4220" spans="27:29">
      <c r="AA4220" s="50">
        <v>258.5</v>
      </c>
      <c r="AB4220" s="51">
        <v>34.979999999999997</v>
      </c>
      <c r="AC4220" s="52">
        <f t="shared" si="597"/>
        <v>0.45618019485734235</v>
      </c>
    </row>
    <row r="4221" spans="27:29">
      <c r="AA4221" s="50">
        <v>258.39999999999998</v>
      </c>
      <c r="AB4221" s="51">
        <v>34.901000000000003</v>
      </c>
      <c r="AC4221" s="52">
        <f t="shared" si="597"/>
        <v>0.45716212925113414</v>
      </c>
    </row>
    <row r="4222" spans="27:29">
      <c r="AA4222" s="50">
        <v>258.3</v>
      </c>
      <c r="AB4222" s="51">
        <v>34.826999999999998</v>
      </c>
      <c r="AC4222" s="52">
        <f t="shared" si="597"/>
        <v>0.4580839340849544</v>
      </c>
    </row>
    <row r="4223" spans="27:29">
      <c r="AA4223" s="50">
        <v>258.2</v>
      </c>
      <c r="AB4223" s="51">
        <v>34.744</v>
      </c>
      <c r="AC4223" s="52">
        <f t="shared" si="597"/>
        <v>0.45912018364582735</v>
      </c>
    </row>
    <row r="4224" spans="27:29">
      <c r="AA4224" s="50">
        <v>258.10000000000002</v>
      </c>
      <c r="AB4224" s="51">
        <v>34.692</v>
      </c>
      <c r="AC4224" s="52">
        <f t="shared" si="597"/>
        <v>0.45977066228171731</v>
      </c>
    </row>
    <row r="4225" spans="27:29">
      <c r="AA4225" s="50">
        <v>258</v>
      </c>
      <c r="AB4225" s="51">
        <v>34.625999999999998</v>
      </c>
      <c r="AC4225" s="52">
        <f t="shared" si="597"/>
        <v>0.46059767530769369</v>
      </c>
    </row>
    <row r="4226" spans="27:29">
      <c r="AA4226" s="50">
        <v>257.89999999999998</v>
      </c>
      <c r="AB4226" s="51">
        <v>34.552999999999997</v>
      </c>
      <c r="AC4226" s="52">
        <f t="shared" si="597"/>
        <v>0.46151423984162493</v>
      </c>
    </row>
    <row r="4227" spans="27:29">
      <c r="AA4227" s="50">
        <v>257.8</v>
      </c>
      <c r="AB4227" s="51">
        <v>34.421999999999997</v>
      </c>
      <c r="AC4227" s="52">
        <f t="shared" si="597"/>
        <v>0.46316389973391542</v>
      </c>
    </row>
    <row r="4228" spans="27:29">
      <c r="AA4228" s="50">
        <v>257.7</v>
      </c>
      <c r="AB4228" s="51">
        <v>34.317</v>
      </c>
      <c r="AC4228" s="52">
        <f t="shared" si="597"/>
        <v>0.46449068528700455</v>
      </c>
    </row>
    <row r="4229" spans="27:29">
      <c r="AA4229" s="50">
        <v>257.60000000000002</v>
      </c>
      <c r="AB4229" s="51">
        <v>34.276000000000003</v>
      </c>
      <c r="AC4229" s="52">
        <f t="shared" si="597"/>
        <v>0.46500986584124809</v>
      </c>
    </row>
    <row r="4230" spans="27:29">
      <c r="AA4230" s="50">
        <v>257.5</v>
      </c>
      <c r="AB4230" s="51">
        <v>34.229999999999997</v>
      </c>
      <c r="AC4230" s="52">
        <f t="shared" si="597"/>
        <v>0.46559310086212291</v>
      </c>
    </row>
    <row r="4231" spans="27:29">
      <c r="AA4231" s="50">
        <v>257.39999999999998</v>
      </c>
      <c r="AB4231" s="51">
        <v>34.128</v>
      </c>
      <c r="AC4231" s="52">
        <f t="shared" si="597"/>
        <v>0.46688916189464647</v>
      </c>
    </row>
    <row r="4232" spans="27:29">
      <c r="AA4232" s="50">
        <v>257.3</v>
      </c>
      <c r="AB4232" s="51">
        <v>34.04</v>
      </c>
      <c r="AC4232" s="52">
        <f t="shared" si="597"/>
        <v>0.46801044858744978</v>
      </c>
    </row>
    <row r="4233" spans="27:29">
      <c r="AA4233" s="50">
        <v>257.2</v>
      </c>
      <c r="AB4233" s="51">
        <v>33.875999999999998</v>
      </c>
      <c r="AC4233" s="52">
        <f t="shared" si="597"/>
        <v>0.47010787580545588</v>
      </c>
    </row>
    <row r="4234" spans="27:29">
      <c r="AA4234" s="50">
        <v>257.10000000000002</v>
      </c>
      <c r="AB4234" s="51">
        <v>33.710999999999999</v>
      </c>
      <c r="AC4234" s="52">
        <f t="shared" ref="AC4234:AC4297" si="598">-LOG(AB4234/100)</f>
        <v>0.47222836441642346</v>
      </c>
    </row>
    <row r="4235" spans="27:29">
      <c r="AA4235" s="50">
        <v>257</v>
      </c>
      <c r="AB4235" s="51">
        <v>33.633000000000003</v>
      </c>
      <c r="AC4235" s="52">
        <f t="shared" si="598"/>
        <v>0.47323439271103751</v>
      </c>
    </row>
    <row r="4236" spans="27:29">
      <c r="AA4236" s="50">
        <v>256.89999999999998</v>
      </c>
      <c r="AB4236" s="51">
        <v>33.561999999999998</v>
      </c>
      <c r="AC4236" s="52">
        <f t="shared" si="598"/>
        <v>0.47415216694097856</v>
      </c>
    </row>
    <row r="4237" spans="27:29">
      <c r="AA4237" s="50">
        <v>256.8</v>
      </c>
      <c r="AB4237" s="51">
        <v>33.484999999999999</v>
      </c>
      <c r="AC4237" s="52">
        <f t="shared" si="598"/>
        <v>0.47514969672780172</v>
      </c>
    </row>
    <row r="4238" spans="27:29">
      <c r="AA4238" s="50">
        <v>256.7</v>
      </c>
      <c r="AB4238" s="51">
        <v>33.387999999999998</v>
      </c>
      <c r="AC4238" s="52">
        <f t="shared" si="598"/>
        <v>0.47640959517079529</v>
      </c>
    </row>
    <row r="4239" spans="27:29">
      <c r="AA4239" s="50">
        <v>256.60000000000002</v>
      </c>
      <c r="AB4239" s="51">
        <v>33.292000000000002</v>
      </c>
      <c r="AC4239" s="52">
        <f t="shared" si="598"/>
        <v>0.4776601140390892</v>
      </c>
    </row>
    <row r="4240" spans="27:29">
      <c r="AA4240" s="50">
        <v>256.5</v>
      </c>
      <c r="AB4240" s="51">
        <v>33.122999999999998</v>
      </c>
      <c r="AC4240" s="52">
        <f t="shared" si="598"/>
        <v>0.47987033540038604</v>
      </c>
    </row>
    <row r="4241" spans="27:29">
      <c r="AA4241" s="50">
        <v>256.39999999999998</v>
      </c>
      <c r="AB4241" s="51">
        <v>33.043999999999997</v>
      </c>
      <c r="AC4241" s="52">
        <f t="shared" si="598"/>
        <v>0.48090738650964426</v>
      </c>
    </row>
    <row r="4242" spans="27:29">
      <c r="AA4242" s="50">
        <v>256.3</v>
      </c>
      <c r="AB4242" s="51">
        <v>32.966000000000001</v>
      </c>
      <c r="AC4242" s="52">
        <f t="shared" si="598"/>
        <v>0.48193374570839226</v>
      </c>
    </row>
    <row r="4243" spans="27:29">
      <c r="AA4243" s="50">
        <v>256.2</v>
      </c>
      <c r="AB4243" s="51">
        <v>32.85</v>
      </c>
      <c r="AC4243" s="52">
        <f t="shared" si="598"/>
        <v>0.48346462610420038</v>
      </c>
    </row>
    <row r="4244" spans="27:29">
      <c r="AA4244" s="50">
        <v>256.10000000000002</v>
      </c>
      <c r="AB4244" s="51">
        <v>32.750999999999998</v>
      </c>
      <c r="AC4244" s="52">
        <f t="shared" si="598"/>
        <v>0.48477543497443976</v>
      </c>
    </row>
    <row r="4245" spans="27:29">
      <c r="AA4245" s="50">
        <v>256</v>
      </c>
      <c r="AB4245" s="51">
        <v>32.58</v>
      </c>
      <c r="AC4245" s="52">
        <f t="shared" si="598"/>
        <v>0.48704892002750944</v>
      </c>
    </row>
    <row r="4246" spans="27:29">
      <c r="AA4246" s="50">
        <v>255.9</v>
      </c>
      <c r="AB4246" s="51">
        <v>32.445999999999998</v>
      </c>
      <c r="AC4246" s="52">
        <f t="shared" si="598"/>
        <v>0.48883883615188284</v>
      </c>
    </row>
    <row r="4247" spans="27:29">
      <c r="AA4247" s="50">
        <v>255.8</v>
      </c>
      <c r="AB4247" s="51">
        <v>32.302</v>
      </c>
      <c r="AC4247" s="52">
        <f t="shared" si="598"/>
        <v>0.49077058720222166</v>
      </c>
    </row>
    <row r="4248" spans="27:29">
      <c r="AA4248" s="50">
        <v>255.7</v>
      </c>
      <c r="AB4248" s="51">
        <v>32.203000000000003</v>
      </c>
      <c r="AC4248" s="52">
        <f t="shared" si="598"/>
        <v>0.49210366797012711</v>
      </c>
    </row>
    <row r="4249" spans="27:29">
      <c r="AA4249" s="50">
        <v>255.6</v>
      </c>
      <c r="AB4249" s="51">
        <v>32.134</v>
      </c>
      <c r="AC4249" s="52">
        <f t="shared" si="598"/>
        <v>0.4930352106513371</v>
      </c>
    </row>
    <row r="4250" spans="27:29">
      <c r="AA4250" s="50">
        <v>255.5</v>
      </c>
      <c r="AB4250" s="51">
        <v>32.081000000000003</v>
      </c>
      <c r="AC4250" s="52">
        <f t="shared" si="598"/>
        <v>0.49375210274095649</v>
      </c>
    </row>
    <row r="4251" spans="27:29">
      <c r="AA4251" s="50">
        <v>255.4</v>
      </c>
      <c r="AB4251" s="51">
        <v>31.998999999999999</v>
      </c>
      <c r="AC4251" s="52">
        <f t="shared" si="598"/>
        <v>0.49486359359471577</v>
      </c>
    </row>
    <row r="4252" spans="27:29">
      <c r="AA4252" s="50">
        <v>255.3</v>
      </c>
      <c r="AB4252" s="51">
        <v>31.905999999999999</v>
      </c>
      <c r="AC4252" s="52">
        <f t="shared" si="598"/>
        <v>0.49612763914138641</v>
      </c>
    </row>
    <row r="4253" spans="27:29">
      <c r="AA4253" s="50">
        <v>255.2</v>
      </c>
      <c r="AB4253" s="51">
        <v>31.771999999999998</v>
      </c>
      <c r="AC4253" s="52">
        <f t="shared" si="598"/>
        <v>0.49795544612264658</v>
      </c>
    </row>
    <row r="4254" spans="27:29">
      <c r="AA4254" s="50">
        <v>255.1</v>
      </c>
      <c r="AB4254" s="51">
        <v>31.643000000000001</v>
      </c>
      <c r="AC4254" s="52">
        <f t="shared" si="598"/>
        <v>0.49972234876215921</v>
      </c>
    </row>
    <row r="4255" spans="27:29">
      <c r="AA4255" s="50">
        <v>255</v>
      </c>
      <c r="AB4255" s="51">
        <v>31.51</v>
      </c>
      <c r="AC4255" s="52">
        <f t="shared" si="598"/>
        <v>0.50155159682600037</v>
      </c>
    </row>
    <row r="4256" spans="27:29">
      <c r="AA4256" s="50">
        <v>254.9</v>
      </c>
      <c r="AB4256" s="51">
        <v>31.408999999999999</v>
      </c>
      <c r="AC4256" s="52">
        <f t="shared" si="598"/>
        <v>0.50294589045266891</v>
      </c>
    </row>
    <row r="4257" spans="27:29">
      <c r="AA4257" s="50">
        <v>254.8</v>
      </c>
      <c r="AB4257" s="51">
        <v>31.337</v>
      </c>
      <c r="AC4257" s="52">
        <f t="shared" si="598"/>
        <v>0.50394258239865086</v>
      </c>
    </row>
    <row r="4258" spans="27:29">
      <c r="AA4258" s="50">
        <v>254.7</v>
      </c>
      <c r="AB4258" s="51">
        <v>31.219000000000001</v>
      </c>
      <c r="AC4258" s="52">
        <f t="shared" si="598"/>
        <v>0.50558101227415986</v>
      </c>
    </row>
    <row r="4259" spans="27:29">
      <c r="AA4259" s="50">
        <v>254.6</v>
      </c>
      <c r="AB4259" s="51">
        <v>31.091999999999999</v>
      </c>
      <c r="AC4259" s="52">
        <f t="shared" si="598"/>
        <v>0.50735134096655043</v>
      </c>
    </row>
    <row r="4260" spans="27:29">
      <c r="AA4260" s="50">
        <v>254.5</v>
      </c>
      <c r="AB4260" s="51">
        <v>30.972000000000001</v>
      </c>
      <c r="AC4260" s="52">
        <f t="shared" si="598"/>
        <v>0.50903074940850634</v>
      </c>
    </row>
    <row r="4261" spans="27:29">
      <c r="AA4261" s="50">
        <v>254.4</v>
      </c>
      <c r="AB4261" s="51">
        <v>30.83</v>
      </c>
      <c r="AC4261" s="52">
        <f t="shared" si="598"/>
        <v>0.51102647527349176</v>
      </c>
    </row>
    <row r="4262" spans="27:29">
      <c r="AA4262" s="50">
        <v>254.3</v>
      </c>
      <c r="AB4262" s="51">
        <v>30.774000000000001</v>
      </c>
      <c r="AC4262" s="52">
        <f t="shared" si="598"/>
        <v>0.51181605055060275</v>
      </c>
    </row>
    <row r="4263" spans="27:29">
      <c r="AA4263" s="50">
        <v>254.2</v>
      </c>
      <c r="AB4263" s="51">
        <v>30.681999999999999</v>
      </c>
      <c r="AC4263" s="52">
        <f t="shared" si="598"/>
        <v>0.51311633440187698</v>
      </c>
    </row>
    <row r="4264" spans="27:29">
      <c r="AA4264" s="50">
        <v>254.1</v>
      </c>
      <c r="AB4264" s="51">
        <v>30.603999999999999</v>
      </c>
      <c r="AC4264" s="52">
        <f t="shared" si="598"/>
        <v>0.51422180670807804</v>
      </c>
    </row>
    <row r="4265" spans="27:29">
      <c r="AA4265" s="50">
        <v>254</v>
      </c>
      <c r="AB4265" s="51">
        <v>30.457999999999998</v>
      </c>
      <c r="AC4265" s="52">
        <f t="shared" si="598"/>
        <v>0.5162986176605403</v>
      </c>
    </row>
    <row r="4266" spans="27:29">
      <c r="AA4266" s="50">
        <v>253.9</v>
      </c>
      <c r="AB4266" s="51">
        <v>30.29</v>
      </c>
      <c r="AC4266" s="52">
        <f t="shared" si="598"/>
        <v>0.51870072666714429</v>
      </c>
    </row>
    <row r="4267" spans="27:29">
      <c r="AA4267" s="50">
        <v>253.8</v>
      </c>
      <c r="AB4267" s="51">
        <v>30.105</v>
      </c>
      <c r="AC4267" s="52">
        <f t="shared" si="598"/>
        <v>0.52136136845683323</v>
      </c>
    </row>
    <row r="4268" spans="27:29">
      <c r="AA4268" s="50">
        <v>253.7</v>
      </c>
      <c r="AB4268" s="51">
        <v>30.001000000000001</v>
      </c>
      <c r="AC4268" s="52">
        <f t="shared" si="598"/>
        <v>0.52286426903887684</v>
      </c>
    </row>
    <row r="4269" spans="27:29">
      <c r="AA4269" s="50">
        <v>253.6</v>
      </c>
      <c r="AB4269" s="51">
        <v>29.881</v>
      </c>
      <c r="AC4269" s="52">
        <f t="shared" si="598"/>
        <v>0.52460487247863496</v>
      </c>
    </row>
    <row r="4270" spans="27:29">
      <c r="AA4270" s="50">
        <v>253.5</v>
      </c>
      <c r="AB4270" s="51">
        <v>29.763999999999999</v>
      </c>
      <c r="AC4270" s="52">
        <f t="shared" si="598"/>
        <v>0.52630870413448405</v>
      </c>
    </row>
    <row r="4271" spans="27:29">
      <c r="AA4271" s="50">
        <v>253.4</v>
      </c>
      <c r="AB4271" s="51">
        <v>29.664999999999999</v>
      </c>
      <c r="AC4271" s="52">
        <f t="shared" si="598"/>
        <v>0.52775564732652747</v>
      </c>
    </row>
    <row r="4272" spans="27:29">
      <c r="AA4272" s="50">
        <v>253.3</v>
      </c>
      <c r="AB4272" s="51">
        <v>29.509</v>
      </c>
      <c r="AC4272" s="52">
        <f t="shared" si="598"/>
        <v>0.53004550760747859</v>
      </c>
    </row>
    <row r="4273" spans="27:29">
      <c r="AA4273" s="50">
        <v>253.2</v>
      </c>
      <c r="AB4273" s="51">
        <v>29.358000000000001</v>
      </c>
      <c r="AC4273" s="52">
        <f t="shared" si="598"/>
        <v>0.53227353385641807</v>
      </c>
    </row>
    <row r="4274" spans="27:29">
      <c r="AA4274" s="50">
        <v>253.1</v>
      </c>
      <c r="AB4274" s="51">
        <v>29.210999999999999</v>
      </c>
      <c r="AC4274" s="52">
        <f t="shared" si="598"/>
        <v>0.53445357527403436</v>
      </c>
    </row>
    <row r="4275" spans="27:29">
      <c r="AA4275" s="50">
        <v>253</v>
      </c>
      <c r="AB4275" s="51">
        <v>29.105</v>
      </c>
      <c r="AC4275" s="52">
        <f t="shared" si="598"/>
        <v>0.53603239637910061</v>
      </c>
    </row>
    <row r="4276" spans="27:29">
      <c r="AA4276" s="50">
        <v>252.9</v>
      </c>
      <c r="AB4276" s="51">
        <v>28.992000000000001</v>
      </c>
      <c r="AC4276" s="52">
        <f t="shared" si="598"/>
        <v>0.53772182400328095</v>
      </c>
    </row>
    <row r="4277" spans="27:29">
      <c r="AA4277" s="50">
        <v>252.8</v>
      </c>
      <c r="AB4277" s="51">
        <v>28.827999999999999</v>
      </c>
      <c r="AC4277" s="52">
        <f t="shared" si="598"/>
        <v>0.54018548661259547</v>
      </c>
    </row>
    <row r="4278" spans="27:29">
      <c r="AA4278" s="50">
        <v>252.7</v>
      </c>
      <c r="AB4278" s="51">
        <v>28.646999999999998</v>
      </c>
      <c r="AC4278" s="52">
        <f t="shared" si="598"/>
        <v>0.54292085193967199</v>
      </c>
    </row>
    <row r="4279" spans="27:29">
      <c r="AA4279" s="50">
        <v>252.6</v>
      </c>
      <c r="AB4279" s="51">
        <v>28.448</v>
      </c>
      <c r="AC4279" s="52">
        <f t="shared" si="598"/>
        <v>0.54594826070988034</v>
      </c>
    </row>
    <row r="4280" spans="27:29">
      <c r="AA4280" s="50">
        <v>252.5</v>
      </c>
      <c r="AB4280" s="51">
        <v>28.254000000000001</v>
      </c>
      <c r="AC4280" s="52">
        <f t="shared" si="598"/>
        <v>0.54892005917363385</v>
      </c>
    </row>
    <row r="4281" spans="27:29">
      <c r="AA4281" s="50">
        <v>252.4</v>
      </c>
      <c r="AB4281" s="51">
        <v>28.056999999999999</v>
      </c>
      <c r="AC4281" s="52">
        <f t="shared" si="598"/>
        <v>0.55195876784432163</v>
      </c>
    </row>
    <row r="4282" spans="27:29">
      <c r="AA4282" s="50">
        <v>252.3</v>
      </c>
      <c r="AB4282" s="51">
        <v>27.841000000000001</v>
      </c>
      <c r="AC4282" s="52">
        <f t="shared" si="598"/>
        <v>0.55531516968352079</v>
      </c>
    </row>
    <row r="4283" spans="27:29">
      <c r="AA4283" s="50">
        <v>252.2</v>
      </c>
      <c r="AB4283" s="51">
        <v>27.66</v>
      </c>
      <c r="AC4283" s="52">
        <f t="shared" si="598"/>
        <v>0.55814782422670817</v>
      </c>
    </row>
    <row r="4284" spans="27:29">
      <c r="AA4284" s="50">
        <v>252.1</v>
      </c>
      <c r="AB4284" s="51">
        <v>27.451000000000001</v>
      </c>
      <c r="AC4284" s="52">
        <f t="shared" si="598"/>
        <v>0.56144183020946481</v>
      </c>
    </row>
    <row r="4285" spans="27:29">
      <c r="AA4285" s="50">
        <v>252</v>
      </c>
      <c r="AB4285" s="51">
        <v>27.241</v>
      </c>
      <c r="AC4285" s="52">
        <f t="shared" si="598"/>
        <v>0.56477695378897097</v>
      </c>
    </row>
    <row r="4286" spans="27:29">
      <c r="AA4286" s="50">
        <v>251.9</v>
      </c>
      <c r="AB4286" s="51">
        <v>26.963000000000001</v>
      </c>
      <c r="AC4286" s="52">
        <f t="shared" si="598"/>
        <v>0.56923178828800558</v>
      </c>
    </row>
    <row r="4287" spans="27:29">
      <c r="AA4287" s="50">
        <v>251.8</v>
      </c>
      <c r="AB4287" s="51">
        <v>26.7</v>
      </c>
      <c r="AC4287" s="52">
        <f t="shared" si="598"/>
        <v>0.57348873863542471</v>
      </c>
    </row>
    <row r="4288" spans="27:29">
      <c r="AA4288" s="50">
        <v>251.7</v>
      </c>
      <c r="AB4288" s="51">
        <v>26.463999999999999</v>
      </c>
      <c r="AC4288" s="52">
        <f t="shared" si="598"/>
        <v>0.57734451212754734</v>
      </c>
    </row>
    <row r="4289" spans="27:29">
      <c r="AA4289" s="50">
        <v>251.6</v>
      </c>
      <c r="AB4289" s="51">
        <v>26.233000000000001</v>
      </c>
      <c r="AC4289" s="52">
        <f t="shared" si="598"/>
        <v>0.58115204074993843</v>
      </c>
    </row>
    <row r="4290" spans="27:29">
      <c r="AA4290" s="50">
        <v>251.5</v>
      </c>
      <c r="AB4290" s="51">
        <v>26.048999999999999</v>
      </c>
      <c r="AC4290" s="52">
        <f t="shared" si="598"/>
        <v>0.58420894425765835</v>
      </c>
    </row>
    <row r="4291" spans="27:29">
      <c r="AA4291" s="50">
        <v>251.4</v>
      </c>
      <c r="AB4291" s="51">
        <v>25.806000000000001</v>
      </c>
      <c r="AC4291" s="52">
        <f t="shared" si="598"/>
        <v>0.5882793070622645</v>
      </c>
    </row>
    <row r="4292" spans="27:29">
      <c r="AA4292" s="50">
        <v>251.3</v>
      </c>
      <c r="AB4292" s="51">
        <v>25.593</v>
      </c>
      <c r="AC4292" s="52">
        <f t="shared" si="598"/>
        <v>0.59187880332418541</v>
      </c>
    </row>
    <row r="4293" spans="27:29">
      <c r="AA4293" s="50">
        <v>251.2</v>
      </c>
      <c r="AB4293" s="51">
        <v>25.382999999999999</v>
      </c>
      <c r="AC4293" s="52">
        <f t="shared" si="598"/>
        <v>0.5954570502299189</v>
      </c>
    </row>
    <row r="4294" spans="27:29">
      <c r="AA4294" s="50">
        <v>251.1</v>
      </c>
      <c r="AB4294" s="51">
        <v>25.204000000000001</v>
      </c>
      <c r="AC4294" s="52">
        <f t="shared" si="598"/>
        <v>0.59853052905691084</v>
      </c>
    </row>
    <row r="4295" spans="27:29">
      <c r="AA4295" s="50">
        <v>251</v>
      </c>
      <c r="AB4295" s="51">
        <v>25.091999999999999</v>
      </c>
      <c r="AC4295" s="52">
        <f t="shared" si="598"/>
        <v>0.60046472113470339</v>
      </c>
    </row>
    <row r="4296" spans="27:29">
      <c r="AA4296" s="50">
        <v>250.9</v>
      </c>
      <c r="AB4296" s="51">
        <v>25.015000000000001</v>
      </c>
      <c r="AC4296" s="52">
        <f t="shared" si="598"/>
        <v>0.6017994927805721</v>
      </c>
    </row>
    <row r="4297" spans="27:29">
      <c r="AA4297" s="50">
        <v>250.8</v>
      </c>
      <c r="AB4297" s="51">
        <v>24.981999999999999</v>
      </c>
      <c r="AC4297" s="52">
        <f t="shared" si="598"/>
        <v>0.60237279597812488</v>
      </c>
    </row>
    <row r="4298" spans="27:29">
      <c r="AA4298" s="50">
        <v>250.7</v>
      </c>
      <c r="AB4298" s="51">
        <v>24.901</v>
      </c>
      <c r="AC4298" s="52">
        <f t="shared" ref="AC4298:AC4361" si="599">-LOG(AB4298/100)</f>
        <v>0.60378321170902816</v>
      </c>
    </row>
    <row r="4299" spans="27:29">
      <c r="AA4299" s="50">
        <v>250.6</v>
      </c>
      <c r="AB4299" s="51">
        <v>24.846</v>
      </c>
      <c r="AC4299" s="52">
        <f t="shared" si="599"/>
        <v>0.60474351911397828</v>
      </c>
    </row>
    <row r="4300" spans="27:29">
      <c r="AA4300" s="50">
        <v>250.5</v>
      </c>
      <c r="AB4300" s="51">
        <v>24.824999999999999</v>
      </c>
      <c r="AC4300" s="52">
        <f t="shared" si="599"/>
        <v>0.60511074283258126</v>
      </c>
    </row>
    <row r="4301" spans="27:29">
      <c r="AA4301" s="50">
        <v>250.4</v>
      </c>
      <c r="AB4301" s="51">
        <v>24.841999999999999</v>
      </c>
      <c r="AC4301" s="52">
        <f t="shared" si="599"/>
        <v>0.60481344255349556</v>
      </c>
    </row>
    <row r="4302" spans="27:29">
      <c r="AA4302" s="50">
        <v>250.3</v>
      </c>
      <c r="AB4302" s="51">
        <v>24.94</v>
      </c>
      <c r="AC4302" s="52">
        <f t="shared" si="599"/>
        <v>0.60310355085747613</v>
      </c>
    </row>
    <row r="4303" spans="27:29">
      <c r="AA4303" s="50">
        <v>250.2</v>
      </c>
      <c r="AB4303" s="51">
        <v>25.044</v>
      </c>
      <c r="AC4303" s="52">
        <f t="shared" si="599"/>
        <v>0.6012963048869211</v>
      </c>
    </row>
    <row r="4304" spans="27:29">
      <c r="AA4304" s="50">
        <v>250.1</v>
      </c>
      <c r="AB4304" s="51">
        <v>25.103999999999999</v>
      </c>
      <c r="AC4304" s="52">
        <f t="shared" si="599"/>
        <v>0.60025707375713855</v>
      </c>
    </row>
    <row r="4305" spans="27:29">
      <c r="AA4305" s="50">
        <v>250</v>
      </c>
      <c r="AB4305" s="51">
        <v>25.143999999999998</v>
      </c>
      <c r="AC4305" s="52">
        <f t="shared" si="599"/>
        <v>0.59956563199047641</v>
      </c>
    </row>
    <row r="4306" spans="27:29">
      <c r="AA4306" s="50">
        <v>249.9</v>
      </c>
      <c r="AB4306" s="51">
        <v>25.149000000000001</v>
      </c>
      <c r="AC4306" s="52">
        <f t="shared" si="599"/>
        <v>0.59947927912162113</v>
      </c>
    </row>
    <row r="4307" spans="27:29">
      <c r="AA4307" s="50">
        <v>249.8</v>
      </c>
      <c r="AB4307" s="51">
        <v>25.198</v>
      </c>
      <c r="AC4307" s="52">
        <f t="shared" si="599"/>
        <v>0.59863392840232288</v>
      </c>
    </row>
    <row r="4308" spans="27:29">
      <c r="AA4308" s="50">
        <v>249.7</v>
      </c>
      <c r="AB4308" s="51">
        <v>25.227</v>
      </c>
      <c r="AC4308" s="52">
        <f t="shared" si="599"/>
        <v>0.59813439280038905</v>
      </c>
    </row>
    <row r="4309" spans="27:29">
      <c r="AA4309" s="50">
        <v>249.6</v>
      </c>
      <c r="AB4309" s="51">
        <v>25.273</v>
      </c>
      <c r="AC4309" s="52">
        <f t="shared" si="599"/>
        <v>0.59734320263433649</v>
      </c>
    </row>
    <row r="4310" spans="27:29">
      <c r="AA4310" s="50">
        <v>249.5</v>
      </c>
      <c r="AB4310" s="51">
        <v>25.24</v>
      </c>
      <c r="AC4310" s="52">
        <f t="shared" si="599"/>
        <v>0.5979106494279034</v>
      </c>
    </row>
    <row r="4311" spans="27:29">
      <c r="AA4311" s="50">
        <v>249.4</v>
      </c>
      <c r="AB4311" s="51">
        <v>25.192</v>
      </c>
      <c r="AC4311" s="52">
        <f t="shared" si="599"/>
        <v>0.5987373523715126</v>
      </c>
    </row>
    <row r="4312" spans="27:29">
      <c r="AA4312" s="50">
        <v>249.3</v>
      </c>
      <c r="AB4312" s="51">
        <v>25.164999999999999</v>
      </c>
      <c r="AC4312" s="52">
        <f t="shared" si="599"/>
        <v>0.59920306526684175</v>
      </c>
    </row>
    <row r="4313" spans="27:29">
      <c r="AA4313" s="50">
        <v>249.2</v>
      </c>
      <c r="AB4313" s="51">
        <v>25.14</v>
      </c>
      <c r="AC4313" s="52">
        <f t="shared" si="599"/>
        <v>0.59963472665006101</v>
      </c>
    </row>
    <row r="4314" spans="27:29">
      <c r="AA4314" s="50">
        <v>249.1</v>
      </c>
      <c r="AB4314" s="51">
        <v>25.143000000000001</v>
      </c>
      <c r="AC4314" s="52">
        <f t="shared" si="599"/>
        <v>0.59958290462483366</v>
      </c>
    </row>
    <row r="4315" spans="27:29">
      <c r="AA4315" s="50">
        <v>249</v>
      </c>
      <c r="AB4315" s="51">
        <v>25.120999999999999</v>
      </c>
      <c r="AC4315" s="52">
        <f t="shared" si="599"/>
        <v>0.59996307648588709</v>
      </c>
    </row>
    <row r="4316" spans="27:29">
      <c r="AA4316" s="50">
        <v>248.9</v>
      </c>
      <c r="AB4316" s="51">
        <v>25.138999999999999</v>
      </c>
      <c r="AC4316" s="52">
        <f t="shared" si="599"/>
        <v>0.5996520020327043</v>
      </c>
    </row>
    <row r="4317" spans="27:29">
      <c r="AA4317" s="50">
        <v>248.8</v>
      </c>
      <c r="AB4317" s="51">
        <v>25.135999999999999</v>
      </c>
      <c r="AC4317" s="52">
        <f t="shared" si="599"/>
        <v>0.59970383230410196</v>
      </c>
    </row>
    <row r="4318" spans="27:29">
      <c r="AA4318" s="50">
        <v>248.7</v>
      </c>
      <c r="AB4318" s="51">
        <v>25.125</v>
      </c>
      <c r="AC4318" s="52">
        <f t="shared" si="599"/>
        <v>0.59989392957145471</v>
      </c>
    </row>
    <row r="4319" spans="27:29">
      <c r="AA4319" s="50">
        <v>248.6</v>
      </c>
      <c r="AB4319" s="51">
        <v>25.084</v>
      </c>
      <c r="AC4319" s="52">
        <f t="shared" si="599"/>
        <v>0.60060320789668775</v>
      </c>
    </row>
    <row r="4320" spans="27:29">
      <c r="AA4320" s="50">
        <v>248.5</v>
      </c>
      <c r="AB4320" s="51">
        <v>25.053999999999998</v>
      </c>
      <c r="AC4320" s="52">
        <f t="shared" si="599"/>
        <v>0.60112292691268221</v>
      </c>
    </row>
    <row r="4321" spans="27:31">
      <c r="AA4321" s="50">
        <v>248.4</v>
      </c>
      <c r="AB4321" s="51">
        <v>25.026</v>
      </c>
      <c r="AC4321" s="52">
        <f t="shared" si="599"/>
        <v>0.60160855977052496</v>
      </c>
    </row>
    <row r="4322" spans="27:31">
      <c r="AA4322" s="50">
        <v>248.3</v>
      </c>
      <c r="AB4322" s="51">
        <v>25.027999999999999</v>
      </c>
      <c r="AC4322" s="52">
        <f t="shared" si="599"/>
        <v>0.60157385369451633</v>
      </c>
    </row>
    <row r="4323" spans="27:31">
      <c r="AA4323" s="50">
        <v>248.2</v>
      </c>
      <c r="AB4323" s="51">
        <v>25.033000000000001</v>
      </c>
      <c r="AC4323" s="52">
        <f t="shared" si="599"/>
        <v>0.60148710063657751</v>
      </c>
    </row>
    <row r="4324" spans="27:31">
      <c r="AA4324" s="50">
        <v>248.1</v>
      </c>
      <c r="AB4324" s="51">
        <v>25.02</v>
      </c>
      <c r="AC4324" s="52">
        <f t="shared" si="599"/>
        <v>0.60171269464259891</v>
      </c>
    </row>
    <row r="4325" spans="27:31">
      <c r="AA4325" s="50">
        <v>248</v>
      </c>
      <c r="AB4325" s="51">
        <v>24.986000000000001</v>
      </c>
      <c r="AC4325" s="52">
        <f t="shared" si="599"/>
        <v>0.60230326436063664</v>
      </c>
    </row>
    <row r="4326" spans="27:31">
      <c r="AA4326" s="50">
        <v>247.9</v>
      </c>
      <c r="AB4326" s="51">
        <v>24.914000000000001</v>
      </c>
      <c r="AC4326" s="52">
        <f t="shared" si="599"/>
        <v>0.60355653988757241</v>
      </c>
    </row>
    <row r="4327" spans="27:31">
      <c r="AA4327" s="50">
        <v>247.8</v>
      </c>
      <c r="AB4327" s="51">
        <v>24.914000000000001</v>
      </c>
      <c r="AC4327" s="52">
        <f t="shared" si="599"/>
        <v>0.60355653988757241</v>
      </c>
    </row>
    <row r="4328" spans="27:31">
      <c r="AA4328" s="50">
        <v>247.7</v>
      </c>
      <c r="AB4328" s="51">
        <v>24.881</v>
      </c>
      <c r="AC4328" s="52">
        <f t="shared" si="599"/>
        <v>0.60413216876601172</v>
      </c>
    </row>
    <row r="4329" spans="27:31">
      <c r="AA4329" s="50">
        <v>247.6</v>
      </c>
      <c r="AB4329" s="51">
        <v>24.824999999999999</v>
      </c>
      <c r="AC4329" s="52">
        <f t="shared" si="599"/>
        <v>0.60511074283258126</v>
      </c>
    </row>
    <row r="4330" spans="27:31">
      <c r="AA4330" s="50">
        <v>247.5</v>
      </c>
      <c r="AB4330" s="51">
        <v>24.809000000000001</v>
      </c>
      <c r="AC4330" s="52">
        <f t="shared" si="599"/>
        <v>0.60539074089645462</v>
      </c>
      <c r="AD4330">
        <f>LARGE(AC4330:AC4450,4)</f>
        <v>1.0073934687832355</v>
      </c>
      <c r="AE4330" t="s">
        <v>346</v>
      </c>
    </row>
    <row r="4331" spans="27:31">
      <c r="AA4331" s="50">
        <v>247.4</v>
      </c>
      <c r="AB4331" s="51">
        <v>24.73</v>
      </c>
      <c r="AC4331" s="52">
        <f t="shared" si="599"/>
        <v>0.60677588363870272</v>
      </c>
      <c r="AD4331">
        <f>SMALL(AC4330:AC4450,4)</f>
        <v>0.61032015678075069</v>
      </c>
      <c r="AE4331" t="s">
        <v>347</v>
      </c>
    </row>
    <row r="4332" spans="27:31">
      <c r="AA4332" s="50">
        <v>247.3</v>
      </c>
      <c r="AB4332" s="51">
        <v>24.628</v>
      </c>
      <c r="AC4332" s="52">
        <f t="shared" si="599"/>
        <v>0.60857085508055586</v>
      </c>
    </row>
    <row r="4333" spans="27:31">
      <c r="AA4333" s="50">
        <v>247.2</v>
      </c>
      <c r="AB4333" s="51">
        <v>24.529</v>
      </c>
      <c r="AC4333" s="52">
        <f t="shared" si="599"/>
        <v>0.61032015678075069</v>
      </c>
    </row>
    <row r="4334" spans="27:31">
      <c r="AA4334" s="50">
        <v>247.1</v>
      </c>
      <c r="AB4334" s="51">
        <v>24.466000000000001</v>
      </c>
      <c r="AC4334" s="52">
        <f t="shared" si="599"/>
        <v>0.61143702860192506</v>
      </c>
    </row>
    <row r="4335" spans="27:31">
      <c r="AA4335" s="50">
        <v>247</v>
      </c>
      <c r="AB4335" s="51">
        <v>24.414999999999999</v>
      </c>
      <c r="AC4335" s="52">
        <f t="shared" si="599"/>
        <v>0.61234327137985778</v>
      </c>
    </row>
    <row r="4336" spans="27:31">
      <c r="AA4336" s="50">
        <v>246.9</v>
      </c>
      <c r="AB4336" s="51">
        <v>24.318999999999999</v>
      </c>
      <c r="AC4336" s="52">
        <f t="shared" si="599"/>
        <v>0.6140542872698167</v>
      </c>
    </row>
    <row r="4337" spans="27:29">
      <c r="AA4337" s="50">
        <v>246.8</v>
      </c>
      <c r="AB4337" s="51">
        <v>24.239000000000001</v>
      </c>
      <c r="AC4337" s="52">
        <f t="shared" si="599"/>
        <v>0.61548530131434753</v>
      </c>
    </row>
    <row r="4338" spans="27:29">
      <c r="AA4338" s="50">
        <v>246.7</v>
      </c>
      <c r="AB4338" s="51">
        <v>24.126999999999999</v>
      </c>
      <c r="AC4338" s="52">
        <f t="shared" si="599"/>
        <v>0.61749667578884926</v>
      </c>
    </row>
    <row r="4339" spans="27:29">
      <c r="AA4339" s="50">
        <v>246.6</v>
      </c>
      <c r="AB4339" s="51">
        <v>24.053000000000001</v>
      </c>
      <c r="AC4339" s="52">
        <f t="shared" si="599"/>
        <v>0.61883074872085442</v>
      </c>
    </row>
    <row r="4340" spans="27:29">
      <c r="AA4340" s="50">
        <v>246.5</v>
      </c>
      <c r="AB4340" s="51">
        <v>23.952999999999999</v>
      </c>
      <c r="AC4340" s="52">
        <f t="shared" si="599"/>
        <v>0.62064008551236971</v>
      </c>
    </row>
    <row r="4341" spans="27:29">
      <c r="AA4341" s="50">
        <v>246.4</v>
      </c>
      <c r="AB4341" s="51">
        <v>23.882999999999999</v>
      </c>
      <c r="AC4341" s="52">
        <f t="shared" si="599"/>
        <v>0.62191112136121329</v>
      </c>
    </row>
    <row r="4342" spans="27:29">
      <c r="AA4342" s="50">
        <v>246.3</v>
      </c>
      <c r="AB4342" s="51">
        <v>23.815999999999999</v>
      </c>
      <c r="AC4342" s="52">
        <f t="shared" si="599"/>
        <v>0.62313117836133169</v>
      </c>
    </row>
    <row r="4343" spans="27:29">
      <c r="AA4343" s="50">
        <v>246.2</v>
      </c>
      <c r="AB4343" s="51">
        <v>23.707999999999998</v>
      </c>
      <c r="AC4343" s="52">
        <f t="shared" si="599"/>
        <v>0.62510508143301946</v>
      </c>
    </row>
    <row r="4344" spans="27:29">
      <c r="AA4344" s="50">
        <v>246.1</v>
      </c>
      <c r="AB4344" s="51">
        <v>23.638999999999999</v>
      </c>
      <c r="AC4344" s="52">
        <f t="shared" si="599"/>
        <v>0.62637089935033163</v>
      </c>
    </row>
    <row r="4345" spans="27:29">
      <c r="AA4345" s="50">
        <v>246</v>
      </c>
      <c r="AB4345" s="51">
        <v>23.523</v>
      </c>
      <c r="AC4345" s="52">
        <f t="shared" si="599"/>
        <v>0.62850729142409989</v>
      </c>
    </row>
    <row r="4346" spans="27:29">
      <c r="AA4346" s="50">
        <v>245.9</v>
      </c>
      <c r="AB4346" s="51">
        <v>23.413</v>
      </c>
      <c r="AC4346" s="52">
        <f t="shared" si="599"/>
        <v>0.63054293487362989</v>
      </c>
    </row>
    <row r="4347" spans="27:29">
      <c r="AA4347" s="50">
        <v>245.8</v>
      </c>
      <c r="AB4347" s="51">
        <v>23.341000000000001</v>
      </c>
      <c r="AC4347" s="52">
        <f t="shared" si="599"/>
        <v>0.63188054138497096</v>
      </c>
    </row>
    <row r="4348" spans="27:29">
      <c r="AA4348" s="50">
        <v>245.7</v>
      </c>
      <c r="AB4348" s="51">
        <v>23.248999999999999</v>
      </c>
      <c r="AC4348" s="52">
        <f t="shared" si="599"/>
        <v>0.63359572250829987</v>
      </c>
    </row>
    <row r="4349" spans="27:29">
      <c r="AA4349" s="50">
        <v>245.6</v>
      </c>
      <c r="AB4349" s="51">
        <v>23.15</v>
      </c>
      <c r="AC4349" s="52">
        <f t="shared" si="599"/>
        <v>0.63544900464602805</v>
      </c>
    </row>
    <row r="4350" spans="27:29">
      <c r="AA4350" s="50">
        <v>245.5</v>
      </c>
      <c r="AB4350" s="51">
        <v>23.056000000000001</v>
      </c>
      <c r="AC4350" s="52">
        <f t="shared" si="599"/>
        <v>0.63721603653008585</v>
      </c>
    </row>
    <row r="4351" spans="27:29">
      <c r="AA4351" s="50">
        <v>245.4</v>
      </c>
      <c r="AB4351" s="51">
        <v>22.940999999999999</v>
      </c>
      <c r="AC4351" s="52">
        <f t="shared" si="599"/>
        <v>0.6393876550914076</v>
      </c>
    </row>
    <row r="4352" spans="27:29">
      <c r="AA4352" s="50">
        <v>245.3</v>
      </c>
      <c r="AB4352" s="51">
        <v>22.788</v>
      </c>
      <c r="AC4352" s="52">
        <f t="shared" si="599"/>
        <v>0.64229378921535762</v>
      </c>
    </row>
    <row r="4353" spans="27:29">
      <c r="AA4353" s="50">
        <v>245.2</v>
      </c>
      <c r="AB4353" s="51">
        <v>22.689</v>
      </c>
      <c r="AC4353" s="52">
        <f t="shared" si="599"/>
        <v>0.64418464488422922</v>
      </c>
    </row>
    <row r="4354" spans="27:29">
      <c r="AA4354" s="50">
        <v>245.1</v>
      </c>
      <c r="AB4354" s="51">
        <v>22.542999999999999</v>
      </c>
      <c r="AC4354" s="52">
        <f t="shared" si="599"/>
        <v>0.64698828896654725</v>
      </c>
    </row>
    <row r="4355" spans="27:29">
      <c r="AA4355" s="50">
        <v>245</v>
      </c>
      <c r="AB4355" s="51">
        <v>22.446999999999999</v>
      </c>
      <c r="AC4355" s="52">
        <f t="shared" si="599"/>
        <v>0.64884169343597253</v>
      </c>
    </row>
    <row r="4356" spans="27:29">
      <c r="AA4356" s="50">
        <v>244.9</v>
      </c>
      <c r="AB4356" s="51">
        <v>22.256</v>
      </c>
      <c r="AC4356" s="52">
        <f t="shared" si="599"/>
        <v>0.65255288735202877</v>
      </c>
    </row>
    <row r="4357" spans="27:29">
      <c r="AA4357" s="50">
        <v>244.8</v>
      </c>
      <c r="AB4357" s="51">
        <v>22.088000000000001</v>
      </c>
      <c r="AC4357" s="52">
        <f t="shared" si="599"/>
        <v>0.65584360636879324</v>
      </c>
    </row>
    <row r="4358" spans="27:29">
      <c r="AA4358" s="50">
        <v>244.7</v>
      </c>
      <c r="AB4358" s="51">
        <v>21.896999999999998</v>
      </c>
      <c r="AC4358" s="52">
        <f t="shared" si="599"/>
        <v>0.65961538162985667</v>
      </c>
    </row>
    <row r="4359" spans="27:29">
      <c r="AA4359" s="50">
        <v>244.6</v>
      </c>
      <c r="AB4359" s="51">
        <v>21.658000000000001</v>
      </c>
      <c r="AC4359" s="52">
        <f t="shared" si="599"/>
        <v>0.6643816506223944</v>
      </c>
    </row>
    <row r="4360" spans="27:29">
      <c r="AA4360" s="50">
        <v>244.5</v>
      </c>
      <c r="AB4360" s="51">
        <v>21.390999999999998</v>
      </c>
      <c r="AC4360" s="52">
        <f t="shared" si="599"/>
        <v>0.66976891228072033</v>
      </c>
    </row>
    <row r="4361" spans="27:29">
      <c r="AA4361" s="50">
        <v>244.4</v>
      </c>
      <c r="AB4361" s="51">
        <v>21.132000000000001</v>
      </c>
      <c r="AC4361" s="52">
        <f t="shared" si="599"/>
        <v>0.67505939798509829</v>
      </c>
    </row>
    <row r="4362" spans="27:29">
      <c r="AA4362" s="50">
        <v>244.3</v>
      </c>
      <c r="AB4362" s="51">
        <v>20.867999999999999</v>
      </c>
      <c r="AC4362" s="52">
        <f t="shared" ref="AC4362:AC4425" si="600">-LOG(AB4362/100)</f>
        <v>0.68051917194966272</v>
      </c>
    </row>
    <row r="4363" spans="27:29">
      <c r="AA4363" s="50">
        <v>244.2</v>
      </c>
      <c r="AB4363" s="51">
        <v>20.576000000000001</v>
      </c>
      <c r="AC4363" s="52">
        <f t="shared" si="600"/>
        <v>0.68663904875587201</v>
      </c>
    </row>
    <row r="4364" spans="27:29">
      <c r="AA4364" s="50">
        <v>244.1</v>
      </c>
      <c r="AB4364" s="51">
        <v>20.216999999999999</v>
      </c>
      <c r="AC4364" s="52">
        <f t="shared" si="600"/>
        <v>0.69428328890863522</v>
      </c>
    </row>
    <row r="4365" spans="27:29">
      <c r="AA4365" s="50">
        <v>244</v>
      </c>
      <c r="AB4365" s="51">
        <v>19.855</v>
      </c>
      <c r="AC4365" s="52">
        <f t="shared" si="600"/>
        <v>0.70213010860009817</v>
      </c>
    </row>
    <row r="4366" spans="27:29">
      <c r="AA4366" s="50">
        <v>243.9</v>
      </c>
      <c r="AB4366" s="51">
        <v>19.5</v>
      </c>
      <c r="AC4366" s="52">
        <f t="shared" si="600"/>
        <v>0.70996538863748193</v>
      </c>
    </row>
    <row r="4367" spans="27:29">
      <c r="AA4367" s="50">
        <v>243.8</v>
      </c>
      <c r="AB4367" s="51">
        <v>19.178000000000001</v>
      </c>
      <c r="AC4367" s="52">
        <f t="shared" si="600"/>
        <v>0.71719668570827155</v>
      </c>
    </row>
    <row r="4368" spans="27:29">
      <c r="AA4368" s="50">
        <v>243.7</v>
      </c>
      <c r="AB4368" s="51">
        <v>18.841000000000001</v>
      </c>
      <c r="AC4368" s="52">
        <f t="shared" si="600"/>
        <v>0.7248960504308033</v>
      </c>
    </row>
    <row r="4369" spans="27:29">
      <c r="AA4369" s="50">
        <v>243.6</v>
      </c>
      <c r="AB4369" s="51">
        <v>18.536999999999999</v>
      </c>
      <c r="AC4369" s="52">
        <f t="shared" si="600"/>
        <v>0.73196055006575933</v>
      </c>
    </row>
    <row r="4370" spans="27:29">
      <c r="AA4370" s="50">
        <v>243.5</v>
      </c>
      <c r="AB4370" s="51">
        <v>18.213999999999999</v>
      </c>
      <c r="AC4370" s="52">
        <f t="shared" si="600"/>
        <v>0.73959466776017568</v>
      </c>
    </row>
    <row r="4371" spans="27:29">
      <c r="AA4371" s="50">
        <v>243.4</v>
      </c>
      <c r="AB4371" s="51">
        <v>17.91</v>
      </c>
      <c r="AC4371" s="52">
        <f t="shared" si="600"/>
        <v>0.74690441415096842</v>
      </c>
    </row>
    <row r="4372" spans="27:29">
      <c r="AA4372" s="50">
        <v>243.3</v>
      </c>
      <c r="AB4372" s="51">
        <v>17.611999999999998</v>
      </c>
      <c r="AC4372" s="52">
        <f t="shared" si="600"/>
        <v>0.75419132321251192</v>
      </c>
    </row>
    <row r="4373" spans="27:29">
      <c r="AA4373" s="50">
        <v>243.2</v>
      </c>
      <c r="AB4373" s="51">
        <v>17.326000000000001</v>
      </c>
      <c r="AC4373" s="52">
        <f t="shared" si="600"/>
        <v>0.76130168993701375</v>
      </c>
    </row>
    <row r="4374" spans="27:29">
      <c r="AA4374" s="50">
        <v>243.1</v>
      </c>
      <c r="AB4374" s="51">
        <v>17.018000000000001</v>
      </c>
      <c r="AC4374" s="52">
        <f t="shared" si="600"/>
        <v>0.7690914806792355</v>
      </c>
    </row>
    <row r="4375" spans="27:29">
      <c r="AA4375" s="50">
        <v>243</v>
      </c>
      <c r="AB4375" s="51">
        <v>16.739999999999998</v>
      </c>
      <c r="AC4375" s="52">
        <f t="shared" si="600"/>
        <v>0.77624454634275886</v>
      </c>
    </row>
    <row r="4376" spans="27:29">
      <c r="AA4376" s="50">
        <v>242.9</v>
      </c>
      <c r="AB4376" s="51">
        <v>16.431999999999999</v>
      </c>
      <c r="AC4376" s="52">
        <f t="shared" si="600"/>
        <v>0.784309573746797</v>
      </c>
    </row>
    <row r="4377" spans="27:29">
      <c r="AA4377" s="50">
        <v>242.8</v>
      </c>
      <c r="AB4377" s="51">
        <v>16.012</v>
      </c>
      <c r="AC4377" s="52">
        <f t="shared" si="600"/>
        <v>0.79555441856693243</v>
      </c>
    </row>
    <row r="4378" spans="27:29">
      <c r="AA4378" s="50">
        <v>242.7</v>
      </c>
      <c r="AB4378" s="51">
        <v>15.503</v>
      </c>
      <c r="AC4378" s="52">
        <f t="shared" si="600"/>
        <v>0.80958425296670966</v>
      </c>
    </row>
    <row r="4379" spans="27:29">
      <c r="AA4379" s="50">
        <v>242.6</v>
      </c>
      <c r="AB4379" s="51">
        <v>14.935</v>
      </c>
      <c r="AC4379" s="52">
        <f t="shared" si="600"/>
        <v>0.82579477305985283</v>
      </c>
    </row>
    <row r="4380" spans="27:29">
      <c r="AA4380" s="50">
        <v>242.5</v>
      </c>
      <c r="AB4380" s="51">
        <v>14.347</v>
      </c>
      <c r="AC4380" s="52">
        <f t="shared" si="600"/>
        <v>0.84323890169337579</v>
      </c>
    </row>
    <row r="4381" spans="27:29">
      <c r="AA4381" s="50">
        <v>242.4</v>
      </c>
      <c r="AB4381" s="51">
        <v>13.657</v>
      </c>
      <c r="AC4381" s="52">
        <f t="shared" si="600"/>
        <v>0.86464469059122506</v>
      </c>
    </row>
    <row r="4382" spans="27:29">
      <c r="AA4382" s="50">
        <v>242.3</v>
      </c>
      <c r="AB4382" s="51">
        <v>12.992000000000001</v>
      </c>
      <c r="AC4382" s="52">
        <f t="shared" si="600"/>
        <v>0.88632398810289992</v>
      </c>
    </row>
    <row r="4383" spans="27:29">
      <c r="AA4383" s="50">
        <v>242.2</v>
      </c>
      <c r="AB4383" s="51">
        <v>12.266999999999999</v>
      </c>
      <c r="AC4383" s="52">
        <f t="shared" si="600"/>
        <v>0.91126163472600152</v>
      </c>
    </row>
    <row r="4384" spans="27:29">
      <c r="AA4384" s="50">
        <v>242.1</v>
      </c>
      <c r="AB4384" s="51">
        <v>11.536</v>
      </c>
      <c r="AC4384" s="52">
        <f t="shared" si="600"/>
        <v>0.93794475262464627</v>
      </c>
    </row>
    <row r="4385" spans="27:29">
      <c r="AA4385" s="50">
        <v>242</v>
      </c>
      <c r="AB4385" s="51">
        <v>10.855</v>
      </c>
      <c r="AC4385" s="52">
        <f t="shared" si="600"/>
        <v>0.96437017220956112</v>
      </c>
    </row>
    <row r="4386" spans="27:29">
      <c r="AA4386" s="50">
        <v>241.9</v>
      </c>
      <c r="AB4386" s="51">
        <v>10.256</v>
      </c>
      <c r="AC4386" s="52">
        <f t="shared" si="600"/>
        <v>0.98902198782525785</v>
      </c>
    </row>
    <row r="4387" spans="27:29">
      <c r="AA4387" s="50">
        <v>241.8</v>
      </c>
      <c r="AB4387" s="51">
        <v>9.8312000000000008</v>
      </c>
      <c r="AC4387" s="52">
        <f t="shared" si="600"/>
        <v>1.0073934687832355</v>
      </c>
    </row>
    <row r="4388" spans="27:29">
      <c r="AA4388" s="50">
        <v>241.7</v>
      </c>
      <c r="AB4388" s="51">
        <v>9.5665999999999993</v>
      </c>
      <c r="AC4388" s="52">
        <f t="shared" si="600"/>
        <v>1.0192423844385978</v>
      </c>
    </row>
    <row r="4389" spans="27:29">
      <c r="AA4389" s="50">
        <v>241.6</v>
      </c>
      <c r="AB4389" s="51">
        <v>9.5130999999999997</v>
      </c>
      <c r="AC4389" s="52">
        <f t="shared" si="600"/>
        <v>1.0216779380035981</v>
      </c>
    </row>
    <row r="4390" spans="27:29">
      <c r="AA4390" s="50">
        <v>241.5</v>
      </c>
      <c r="AB4390" s="51">
        <v>9.6468000000000007</v>
      </c>
      <c r="AC4390" s="52">
        <f t="shared" si="600"/>
        <v>1.0156167252900565</v>
      </c>
    </row>
    <row r="4391" spans="27:29">
      <c r="AA4391" s="50">
        <v>241.4</v>
      </c>
      <c r="AB4391" s="51">
        <v>9.9748999999999999</v>
      </c>
      <c r="AC4391" s="52">
        <f t="shared" si="600"/>
        <v>1.0010914494924306</v>
      </c>
    </row>
    <row r="4392" spans="27:29">
      <c r="AA4392" s="50">
        <v>241.3</v>
      </c>
      <c r="AB4392" s="51">
        <v>10.436999999999999</v>
      </c>
      <c r="AC4392" s="52">
        <f t="shared" si="600"/>
        <v>0.98142431653274864</v>
      </c>
    </row>
    <row r="4393" spans="27:29">
      <c r="AA4393" s="50">
        <v>241.2</v>
      </c>
      <c r="AB4393" s="51">
        <v>11.026999999999999</v>
      </c>
      <c r="AC4393" s="52">
        <f t="shared" si="600"/>
        <v>0.95754262542567914</v>
      </c>
    </row>
    <row r="4394" spans="27:29">
      <c r="AA4394" s="50">
        <v>241.1</v>
      </c>
      <c r="AB4394" s="51">
        <v>11.718</v>
      </c>
      <c r="AC4394" s="52">
        <f t="shared" si="600"/>
        <v>0.93114650632850193</v>
      </c>
    </row>
    <row r="4395" spans="27:29">
      <c r="AA4395" s="50">
        <v>241</v>
      </c>
      <c r="AB4395" s="51">
        <v>12.414999999999999</v>
      </c>
      <c r="AC4395" s="52">
        <f t="shared" si="600"/>
        <v>0.90605327610941688</v>
      </c>
    </row>
    <row r="4396" spans="27:29">
      <c r="AA4396" s="50">
        <v>240.9</v>
      </c>
      <c r="AB4396" s="51">
        <v>13.154</v>
      </c>
      <c r="AC4396" s="52">
        <f t="shared" si="600"/>
        <v>0.8809421624767626</v>
      </c>
    </row>
    <row r="4397" spans="27:29">
      <c r="AA4397" s="50">
        <v>240.8</v>
      </c>
      <c r="AB4397" s="51">
        <v>13.819000000000001</v>
      </c>
      <c r="AC4397" s="52">
        <f t="shared" si="600"/>
        <v>0.85952338316986643</v>
      </c>
    </row>
    <row r="4398" spans="27:29">
      <c r="AA4398" s="50">
        <v>240.7</v>
      </c>
      <c r="AB4398" s="51">
        <v>14.504</v>
      </c>
      <c r="AC4398" s="52">
        <f t="shared" si="600"/>
        <v>0.83851220891254774</v>
      </c>
    </row>
    <row r="4399" spans="27:29">
      <c r="AA4399" s="50">
        <v>240.6</v>
      </c>
      <c r="AB4399" s="51">
        <v>15.11</v>
      </c>
      <c r="AC4399" s="52">
        <f t="shared" si="600"/>
        <v>0.82073553566097468</v>
      </c>
    </row>
    <row r="4400" spans="27:29">
      <c r="AA4400" s="50">
        <v>240.5</v>
      </c>
      <c r="AB4400" s="51">
        <v>15.641999999999999</v>
      </c>
      <c r="AC4400" s="52">
        <f t="shared" si="600"/>
        <v>0.80570771844802747</v>
      </c>
    </row>
    <row r="4401" spans="27:29">
      <c r="AA4401" s="50">
        <v>240.4</v>
      </c>
      <c r="AB4401" s="51">
        <v>16.033000000000001</v>
      </c>
      <c r="AC4401" s="52">
        <f t="shared" si="600"/>
        <v>0.79498520743099621</v>
      </c>
    </row>
    <row r="4402" spans="27:29">
      <c r="AA4402" s="50">
        <v>240.3</v>
      </c>
      <c r="AB4402" s="51">
        <v>16.350999999999999</v>
      </c>
      <c r="AC4402" s="52">
        <f t="shared" si="600"/>
        <v>0.78645568146233324</v>
      </c>
    </row>
    <row r="4403" spans="27:29">
      <c r="AA4403" s="50">
        <v>240.2</v>
      </c>
      <c r="AB4403" s="51">
        <v>16.562999999999999</v>
      </c>
      <c r="AC4403" s="52">
        <f t="shared" si="600"/>
        <v>0.78086099814019927</v>
      </c>
    </row>
    <row r="4404" spans="27:29">
      <c r="AA4404" s="50">
        <v>240.1</v>
      </c>
      <c r="AB4404" s="51">
        <v>16.733000000000001</v>
      </c>
      <c r="AC4404" s="52">
        <f t="shared" si="600"/>
        <v>0.77642618894531246</v>
      </c>
    </row>
    <row r="4405" spans="27:29">
      <c r="AA4405" s="50">
        <v>240</v>
      </c>
      <c r="AB4405" s="51">
        <v>16.829000000000001</v>
      </c>
      <c r="AC4405" s="52">
        <f t="shared" si="600"/>
        <v>0.77394168957288711</v>
      </c>
    </row>
    <row r="4406" spans="27:29">
      <c r="AA4406" s="50">
        <v>239.9</v>
      </c>
      <c r="AB4406" s="51">
        <v>16.888000000000002</v>
      </c>
      <c r="AC4406" s="52">
        <f t="shared" si="600"/>
        <v>0.77242177970039994</v>
      </c>
    </row>
    <row r="4407" spans="27:29">
      <c r="AA4407" s="50">
        <v>239.8</v>
      </c>
      <c r="AB4407" s="51">
        <v>16.957000000000001</v>
      </c>
      <c r="AC4407" s="52">
        <f t="shared" si="600"/>
        <v>0.77065097983229658</v>
      </c>
    </row>
    <row r="4408" spans="27:29">
      <c r="AA4408" s="50">
        <v>239.7</v>
      </c>
      <c r="AB4408" s="51">
        <v>16.97</v>
      </c>
      <c r="AC4408" s="52">
        <f t="shared" si="600"/>
        <v>0.77031815768232426</v>
      </c>
    </row>
    <row r="4409" spans="27:29">
      <c r="AA4409" s="50">
        <v>239.6</v>
      </c>
      <c r="AB4409" s="51">
        <v>16.98</v>
      </c>
      <c r="AC4409" s="52">
        <f t="shared" si="600"/>
        <v>0.77006231409206616</v>
      </c>
    </row>
    <row r="4410" spans="27:29">
      <c r="AA4410" s="50">
        <v>239.5</v>
      </c>
      <c r="AB4410" s="51">
        <v>16.928000000000001</v>
      </c>
      <c r="AC4410" s="52">
        <f t="shared" si="600"/>
        <v>0.77139434964490827</v>
      </c>
    </row>
    <row r="4411" spans="27:29">
      <c r="AA4411" s="50">
        <v>239.4</v>
      </c>
      <c r="AB4411" s="51">
        <v>16.888000000000002</v>
      </c>
      <c r="AC4411" s="52">
        <f t="shared" si="600"/>
        <v>0.77242177970039994</v>
      </c>
    </row>
    <row r="4412" spans="27:29">
      <c r="AA4412" s="50">
        <v>239.3</v>
      </c>
      <c r="AB4412" s="51">
        <v>16.84</v>
      </c>
      <c r="AC4412" s="52">
        <f t="shared" si="600"/>
        <v>0.77365791283636931</v>
      </c>
    </row>
    <row r="4413" spans="27:29">
      <c r="AA4413" s="50">
        <v>239.2</v>
      </c>
      <c r="AB4413" s="51">
        <v>16.795999999999999</v>
      </c>
      <c r="AC4413" s="52">
        <f t="shared" si="600"/>
        <v>0.77479413403409791</v>
      </c>
    </row>
    <row r="4414" spans="27:29">
      <c r="AA4414" s="50">
        <v>239.1</v>
      </c>
      <c r="AB4414" s="51">
        <v>16.733000000000001</v>
      </c>
      <c r="AC4414" s="52">
        <f t="shared" si="600"/>
        <v>0.77642618894531246</v>
      </c>
    </row>
    <row r="4415" spans="27:29">
      <c r="AA4415" s="50">
        <v>239</v>
      </c>
      <c r="AB4415" s="51">
        <v>16.667000000000002</v>
      </c>
      <c r="AC4415" s="52">
        <f t="shared" si="600"/>
        <v>0.77814256458086328</v>
      </c>
    </row>
    <row r="4416" spans="27:29">
      <c r="AA4416" s="50">
        <v>238.9</v>
      </c>
      <c r="AB4416" s="51">
        <v>16.605</v>
      </c>
      <c r="AC4416" s="52">
        <f t="shared" si="600"/>
        <v>0.77976112006559595</v>
      </c>
    </row>
    <row r="4417" spans="27:29">
      <c r="AA4417" s="50">
        <v>238.8</v>
      </c>
      <c r="AB4417" s="51">
        <v>16.53</v>
      </c>
      <c r="AC4417" s="52">
        <f t="shared" si="600"/>
        <v>0.78172714642855246</v>
      </c>
    </row>
    <row r="4418" spans="27:29">
      <c r="AA4418" s="50">
        <v>238.7</v>
      </c>
      <c r="AB4418" s="51">
        <v>16.475999999999999</v>
      </c>
      <c r="AC4418" s="52">
        <f t="shared" si="600"/>
        <v>0.78314821671562007</v>
      </c>
    </row>
    <row r="4419" spans="27:29">
      <c r="AA4419" s="50">
        <v>238.6</v>
      </c>
      <c r="AB4419" s="51">
        <v>16.396999999999998</v>
      </c>
      <c r="AC4419" s="52">
        <f t="shared" si="600"/>
        <v>0.78523560333196152</v>
      </c>
    </row>
    <row r="4420" spans="27:29">
      <c r="AA4420" s="50">
        <v>238.5</v>
      </c>
      <c r="AB4420" s="51">
        <v>16.369</v>
      </c>
      <c r="AC4420" s="52">
        <f t="shared" si="600"/>
        <v>0.7859778512995671</v>
      </c>
    </row>
    <row r="4421" spans="27:29">
      <c r="AA4421" s="50">
        <v>238.4</v>
      </c>
      <c r="AB4421" s="51">
        <v>16.315999999999999</v>
      </c>
      <c r="AC4421" s="52">
        <f t="shared" si="600"/>
        <v>0.78738630335494297</v>
      </c>
    </row>
    <row r="4422" spans="27:29">
      <c r="AA4422" s="50">
        <v>238.3</v>
      </c>
      <c r="AB4422" s="51">
        <v>16.27</v>
      </c>
      <c r="AC4422" s="52">
        <f t="shared" si="600"/>
        <v>0.78861244706314126</v>
      </c>
    </row>
    <row r="4423" spans="27:29">
      <c r="AA4423" s="50">
        <v>238.2</v>
      </c>
      <c r="AB4423" s="51">
        <v>16.231999999999999</v>
      </c>
      <c r="AC4423" s="52">
        <f t="shared" si="600"/>
        <v>0.78962796597471041</v>
      </c>
    </row>
    <row r="4424" spans="27:29">
      <c r="AA4424" s="50">
        <v>238.1</v>
      </c>
      <c r="AB4424" s="51">
        <v>16.198</v>
      </c>
      <c r="AC4424" s="52">
        <f t="shared" si="600"/>
        <v>0.79053860537001241</v>
      </c>
    </row>
    <row r="4425" spans="27:29">
      <c r="AA4425" s="50">
        <v>238</v>
      </c>
      <c r="AB4425" s="51">
        <v>16.163</v>
      </c>
      <c r="AC4425" s="52">
        <f t="shared" si="600"/>
        <v>0.79147802706856685</v>
      </c>
    </row>
    <row r="4426" spans="27:29">
      <c r="AA4426" s="50">
        <v>237.9</v>
      </c>
      <c r="AB4426" s="51">
        <v>16.131</v>
      </c>
      <c r="AC4426" s="52">
        <f t="shared" ref="AC4426:AC4489" si="601">-LOG(AB4426/100)</f>
        <v>0.79233870880321833</v>
      </c>
    </row>
    <row r="4427" spans="27:29">
      <c r="AA4427" s="50">
        <v>237.8</v>
      </c>
      <c r="AB4427" s="51">
        <v>16.106000000000002</v>
      </c>
      <c r="AC4427" s="52">
        <f t="shared" si="601"/>
        <v>0.79301230524359168</v>
      </c>
    </row>
    <row r="4428" spans="27:29">
      <c r="AA4428" s="50">
        <v>237.7</v>
      </c>
      <c r="AB4428" s="51">
        <v>16.085999999999999</v>
      </c>
      <c r="AC4428" s="52">
        <f t="shared" si="601"/>
        <v>0.79355193563347681</v>
      </c>
    </row>
    <row r="4429" spans="27:29">
      <c r="AA4429" s="50">
        <v>237.6</v>
      </c>
      <c r="AB4429" s="51">
        <v>16.05</v>
      </c>
      <c r="AC4429" s="52">
        <f t="shared" si="601"/>
        <v>0.79452496325910915</v>
      </c>
    </row>
    <row r="4430" spans="27:29">
      <c r="AA4430" s="50">
        <v>237.5</v>
      </c>
      <c r="AB4430" s="51">
        <v>16.001999999999999</v>
      </c>
      <c r="AC4430" s="52">
        <f t="shared" si="601"/>
        <v>0.79582573392648026</v>
      </c>
    </row>
    <row r="4431" spans="27:29">
      <c r="AA4431" s="50">
        <v>237.4</v>
      </c>
      <c r="AB4431" s="51">
        <v>15.978999999999999</v>
      </c>
      <c r="AC4431" s="52">
        <f t="shared" si="601"/>
        <v>0.79645040324925886</v>
      </c>
    </row>
    <row r="4432" spans="27:29">
      <c r="AA4432" s="50">
        <v>237.3</v>
      </c>
      <c r="AB4432" s="51">
        <v>15.901999999999999</v>
      </c>
      <c r="AC4432" s="52">
        <f t="shared" si="601"/>
        <v>0.79854825087828119</v>
      </c>
    </row>
    <row r="4433" spans="27:29">
      <c r="AA4433" s="50">
        <v>237.2</v>
      </c>
      <c r="AB4433" s="51">
        <v>15.864000000000001</v>
      </c>
      <c r="AC4433" s="52">
        <f t="shared" si="601"/>
        <v>0.7995872988027537</v>
      </c>
    </row>
    <row r="4434" spans="27:29">
      <c r="AA4434" s="50">
        <v>237.1</v>
      </c>
      <c r="AB4434" s="51">
        <v>15.801</v>
      </c>
      <c r="AC4434" s="52">
        <f t="shared" si="601"/>
        <v>0.80131542692285662</v>
      </c>
    </row>
    <row r="4435" spans="27:29">
      <c r="AA4435" s="50">
        <v>237</v>
      </c>
      <c r="AB4435" s="51">
        <v>15.752000000000001</v>
      </c>
      <c r="AC4435" s="52">
        <f t="shared" si="601"/>
        <v>0.80266429686993823</v>
      </c>
    </row>
    <row r="4436" spans="27:29">
      <c r="AA4436" s="50">
        <v>236.9</v>
      </c>
      <c r="AB4436" s="51">
        <v>15.683</v>
      </c>
      <c r="AC4436" s="52">
        <f t="shared" si="601"/>
        <v>0.80457085754293745</v>
      </c>
    </row>
    <row r="4437" spans="27:29">
      <c r="AA4437" s="50">
        <v>236.8</v>
      </c>
      <c r="AB4437" s="51">
        <v>15.587</v>
      </c>
      <c r="AC4437" s="52">
        <f t="shared" si="601"/>
        <v>0.80723746459431456</v>
      </c>
    </row>
    <row r="4438" spans="27:29">
      <c r="AA4438" s="50">
        <v>236.7</v>
      </c>
      <c r="AB4438" s="51">
        <v>15.507</v>
      </c>
      <c r="AC4438" s="52">
        <f t="shared" si="601"/>
        <v>0.80947221311264672</v>
      </c>
    </row>
    <row r="4439" spans="27:29">
      <c r="AA4439" s="50">
        <v>236.6</v>
      </c>
      <c r="AB4439" s="51">
        <v>15.430999999999999</v>
      </c>
      <c r="AC4439" s="52">
        <f t="shared" si="601"/>
        <v>0.81160592873857196</v>
      </c>
    </row>
    <row r="4440" spans="27:29">
      <c r="AA4440" s="50">
        <v>236.5</v>
      </c>
      <c r="AB4440" s="51">
        <v>15.353999999999999</v>
      </c>
      <c r="AC4440" s="52">
        <f t="shared" si="601"/>
        <v>0.81377846372917095</v>
      </c>
    </row>
    <row r="4441" spans="27:29">
      <c r="AA4441" s="50">
        <v>236.4</v>
      </c>
      <c r="AB4441" s="51">
        <v>15.266</v>
      </c>
      <c r="AC4441" s="52">
        <f t="shared" si="601"/>
        <v>0.81627474195442173</v>
      </c>
    </row>
    <row r="4442" spans="27:29">
      <c r="AA4442" s="50">
        <v>236.3</v>
      </c>
      <c r="AB4442" s="51">
        <v>15.180999999999999</v>
      </c>
      <c r="AC4442" s="52">
        <f t="shared" si="601"/>
        <v>0.81869961973317962</v>
      </c>
    </row>
    <row r="4443" spans="27:29">
      <c r="AA4443" s="50">
        <v>236.2</v>
      </c>
      <c r="AB4443" s="51">
        <v>15.085000000000001</v>
      </c>
      <c r="AC4443" s="52">
        <f t="shared" si="601"/>
        <v>0.8214546854889927</v>
      </c>
    </row>
    <row r="4444" spans="27:29">
      <c r="AA4444" s="50">
        <v>236.1</v>
      </c>
      <c r="AB4444" s="51">
        <v>14.986000000000001</v>
      </c>
      <c r="AC4444" s="52">
        <f t="shared" si="601"/>
        <v>0.82431427173791783</v>
      </c>
    </row>
    <row r="4445" spans="27:29">
      <c r="AA4445" s="50">
        <v>236</v>
      </c>
      <c r="AB4445" s="51">
        <v>14.923</v>
      </c>
      <c r="AC4445" s="52">
        <f t="shared" si="601"/>
        <v>0.82614386101373039</v>
      </c>
    </row>
    <row r="4446" spans="27:29">
      <c r="AA4446" s="50">
        <v>235.9</v>
      </c>
      <c r="AB4446" s="51">
        <v>14.840999999999999</v>
      </c>
      <c r="AC4446" s="52">
        <f t="shared" si="601"/>
        <v>0.82853683491615637</v>
      </c>
    </row>
    <row r="4447" spans="27:29">
      <c r="AA4447" s="50">
        <v>235.8</v>
      </c>
      <c r="AB4447" s="51">
        <v>14.744</v>
      </c>
      <c r="AC4447" s="52">
        <f t="shared" si="601"/>
        <v>0.83138467778898262</v>
      </c>
    </row>
    <row r="4448" spans="27:29">
      <c r="AA4448" s="50">
        <v>235.7</v>
      </c>
      <c r="AB4448" s="51">
        <v>14.662000000000001</v>
      </c>
      <c r="AC4448" s="52">
        <f t="shared" si="601"/>
        <v>0.83380678482993253</v>
      </c>
    </row>
    <row r="4449" spans="27:29">
      <c r="AA4449" s="50">
        <v>235.6</v>
      </c>
      <c r="AB4449" s="51">
        <v>14.565</v>
      </c>
      <c r="AC4449" s="52">
        <f t="shared" si="601"/>
        <v>0.83668951103631384</v>
      </c>
    </row>
    <row r="4450" spans="27:29">
      <c r="AA4450" s="50">
        <v>235.5</v>
      </c>
      <c r="AB4450" s="51">
        <v>14.491</v>
      </c>
      <c r="AC4450" s="52">
        <f t="shared" si="601"/>
        <v>0.83890164354907493</v>
      </c>
    </row>
    <row r="4451" spans="27:29">
      <c r="AA4451" s="50">
        <v>235.4</v>
      </c>
      <c r="AB4451" s="51">
        <v>14.371</v>
      </c>
      <c r="AC4451" s="52">
        <f t="shared" si="601"/>
        <v>0.84251301061515127</v>
      </c>
    </row>
    <row r="4452" spans="27:29">
      <c r="AA4452" s="50">
        <v>235.3</v>
      </c>
      <c r="AB4452" s="51">
        <v>14.291</v>
      </c>
      <c r="AC4452" s="52">
        <f t="shared" si="601"/>
        <v>0.84493738077607916</v>
      </c>
    </row>
    <row r="4453" spans="27:29">
      <c r="AA4453" s="50">
        <v>235.2</v>
      </c>
      <c r="AB4453" s="51">
        <v>14.215</v>
      </c>
      <c r="AC4453" s="52">
        <f t="shared" si="601"/>
        <v>0.84725313597353902</v>
      </c>
    </row>
    <row r="4454" spans="27:29">
      <c r="AA4454" s="50">
        <v>235.1</v>
      </c>
      <c r="AB4454" s="51">
        <v>14.13</v>
      </c>
      <c r="AC4454" s="52">
        <f t="shared" si="601"/>
        <v>0.84985783815144134</v>
      </c>
    </row>
    <row r="4455" spans="27:29">
      <c r="AA4455" s="50">
        <v>235</v>
      </c>
      <c r="AB4455" s="51">
        <v>14.035</v>
      </c>
      <c r="AC4455" s="52">
        <f t="shared" si="601"/>
        <v>0.85278758302954205</v>
      </c>
    </row>
    <row r="4456" spans="27:29">
      <c r="AA4456" s="50">
        <v>234.9</v>
      </c>
      <c r="AB4456" s="51">
        <v>13.946999999999999</v>
      </c>
      <c r="AC4456" s="52">
        <f t="shared" si="601"/>
        <v>0.85551919909725049</v>
      </c>
    </row>
    <row r="4457" spans="27:29">
      <c r="AA4457" s="50">
        <v>234.8</v>
      </c>
      <c r="AB4457" s="51">
        <v>13.839</v>
      </c>
      <c r="AC4457" s="52">
        <f t="shared" si="601"/>
        <v>0.85889529067207082</v>
      </c>
    </row>
    <row r="4458" spans="27:29">
      <c r="AA4458" s="50">
        <v>234.7</v>
      </c>
      <c r="AB4458" s="51">
        <v>13.754</v>
      </c>
      <c r="AC4458" s="52">
        <f t="shared" si="601"/>
        <v>0.86157097999399634</v>
      </c>
    </row>
    <row r="4459" spans="27:29">
      <c r="AA4459" s="50">
        <v>234.6</v>
      </c>
      <c r="AB4459" s="51">
        <v>13.675000000000001</v>
      </c>
      <c r="AC4459" s="52">
        <f t="shared" si="601"/>
        <v>0.86407266499453161</v>
      </c>
    </row>
    <row r="4460" spans="27:29">
      <c r="AA4460" s="50">
        <v>234.5</v>
      </c>
      <c r="AB4460" s="51">
        <v>13.573</v>
      </c>
      <c r="AC4460" s="52">
        <f t="shared" si="601"/>
        <v>0.86732415090703774</v>
      </c>
    </row>
    <row r="4461" spans="27:29">
      <c r="AA4461" s="50">
        <v>234.4</v>
      </c>
      <c r="AB4461" s="51">
        <v>13.500999999999999</v>
      </c>
      <c r="AC4461" s="52">
        <f t="shared" si="601"/>
        <v>0.86963406273479271</v>
      </c>
    </row>
    <row r="4462" spans="27:29">
      <c r="AA4462" s="50">
        <v>234.3</v>
      </c>
      <c r="AB4462" s="51">
        <v>13.387</v>
      </c>
      <c r="AC4462" s="52">
        <f t="shared" si="601"/>
        <v>0.87331673661170994</v>
      </c>
    </row>
    <row r="4463" spans="27:29">
      <c r="AA4463" s="50">
        <v>234.2</v>
      </c>
      <c r="AB4463" s="51">
        <v>13.29</v>
      </c>
      <c r="AC4463" s="52">
        <f t="shared" si="601"/>
        <v>0.87647501905726799</v>
      </c>
    </row>
    <row r="4464" spans="27:29">
      <c r="AA4464" s="50">
        <v>234.1</v>
      </c>
      <c r="AB4464" s="51">
        <v>13.222</v>
      </c>
      <c r="AC4464" s="52">
        <f t="shared" si="601"/>
        <v>0.8787028471750542</v>
      </c>
    </row>
    <row r="4465" spans="27:29">
      <c r="AA4465" s="50">
        <v>234</v>
      </c>
      <c r="AB4465" s="51">
        <v>13.154999999999999</v>
      </c>
      <c r="AC4465" s="52">
        <f t="shared" si="601"/>
        <v>0.88090914757827821</v>
      </c>
    </row>
    <row r="4466" spans="27:29">
      <c r="AA4466" s="50">
        <v>233.9</v>
      </c>
      <c r="AB4466" s="51">
        <v>13.068</v>
      </c>
      <c r="AC4466" s="52">
        <f t="shared" si="601"/>
        <v>0.8837908741966003</v>
      </c>
    </row>
    <row r="4467" spans="27:29">
      <c r="AA4467" s="50">
        <v>233.8</v>
      </c>
      <c r="AB4467" s="51">
        <v>13.002000000000001</v>
      </c>
      <c r="AC4467" s="52">
        <f t="shared" si="601"/>
        <v>0.88598983829653843</v>
      </c>
    </row>
    <row r="4468" spans="27:29">
      <c r="AA4468" s="50">
        <v>233.7</v>
      </c>
      <c r="AB4468" s="51">
        <v>12.93</v>
      </c>
      <c r="AC4468" s="52">
        <f t="shared" si="601"/>
        <v>0.88840147511960599</v>
      </c>
    </row>
    <row r="4469" spans="27:29">
      <c r="AA4469" s="50">
        <v>233.6</v>
      </c>
      <c r="AB4469" s="51">
        <v>12.865</v>
      </c>
      <c r="AC4469" s="52">
        <f t="shared" si="601"/>
        <v>0.89059020945363454</v>
      </c>
    </row>
    <row r="4470" spans="27:29">
      <c r="AA4470" s="50">
        <v>233.5</v>
      </c>
      <c r="AB4470" s="51">
        <v>12.778</v>
      </c>
      <c r="AC4470" s="52">
        <f t="shared" si="601"/>
        <v>0.89353711620387888</v>
      </c>
    </row>
    <row r="4471" spans="27:29">
      <c r="AA4471" s="50">
        <v>233.4</v>
      </c>
      <c r="AB4471" s="51">
        <v>12.677</v>
      </c>
      <c r="AC4471" s="52">
        <f t="shared" si="601"/>
        <v>0.89698350967168483</v>
      </c>
    </row>
    <row r="4472" spans="27:29">
      <c r="AA4472" s="50">
        <v>233.3</v>
      </c>
      <c r="AB4472" s="51">
        <v>12.621</v>
      </c>
      <c r="AC4472" s="52">
        <f t="shared" si="601"/>
        <v>0.89890623326334118</v>
      </c>
    </row>
    <row r="4473" spans="27:29">
      <c r="AA4473" s="50">
        <v>233.2</v>
      </c>
      <c r="AB4473" s="51">
        <v>12.561</v>
      </c>
      <c r="AC4473" s="52">
        <f t="shared" si="601"/>
        <v>0.90097578438910708</v>
      </c>
    </row>
    <row r="4474" spans="27:29">
      <c r="AA4474" s="50">
        <v>233.1</v>
      </c>
      <c r="AB4474" s="51">
        <v>12.504</v>
      </c>
      <c r="AC4474" s="52">
        <f t="shared" si="601"/>
        <v>0.90295103498886953</v>
      </c>
    </row>
    <row r="4475" spans="27:29">
      <c r="AA4475" s="50">
        <v>233</v>
      </c>
      <c r="AB4475" s="51">
        <v>12.414</v>
      </c>
      <c r="AC4475" s="52">
        <f t="shared" si="601"/>
        <v>0.90608825895062173</v>
      </c>
    </row>
    <row r="4476" spans="27:29">
      <c r="AA4476" s="50">
        <v>232.9</v>
      </c>
      <c r="AB4476" s="51">
        <v>12.348000000000001</v>
      </c>
      <c r="AC4476" s="52">
        <f t="shared" si="601"/>
        <v>0.90840337918994218</v>
      </c>
    </row>
    <row r="4477" spans="27:29">
      <c r="AA4477" s="50">
        <v>232.8</v>
      </c>
      <c r="AB4477" s="51">
        <v>12.27</v>
      </c>
      <c r="AC4477" s="52">
        <f t="shared" si="601"/>
        <v>0.91115543727299575</v>
      </c>
    </row>
    <row r="4478" spans="27:29">
      <c r="AA4478" s="50">
        <v>232.7</v>
      </c>
      <c r="AB4478" s="51">
        <v>12.204000000000001</v>
      </c>
      <c r="AC4478" s="52">
        <f t="shared" si="601"/>
        <v>0.91349780102963052</v>
      </c>
    </row>
    <row r="4479" spans="27:29">
      <c r="AA4479" s="50">
        <v>232.6</v>
      </c>
      <c r="AB4479" s="51">
        <v>12.124000000000001</v>
      </c>
      <c r="AC4479" s="52">
        <f t="shared" si="601"/>
        <v>0.91635407230441535</v>
      </c>
    </row>
    <row r="4480" spans="27:29">
      <c r="AA4480" s="50">
        <v>232.5</v>
      </c>
      <c r="AB4480" s="51">
        <v>12.066000000000001</v>
      </c>
      <c r="AC4480" s="52">
        <f t="shared" si="601"/>
        <v>0.91843667901961445</v>
      </c>
    </row>
    <row r="4481" spans="27:29">
      <c r="AA4481" s="50">
        <v>232.4</v>
      </c>
      <c r="AB4481" s="51">
        <v>11.992000000000001</v>
      </c>
      <c r="AC4481" s="52">
        <f t="shared" si="601"/>
        <v>0.92110838015977692</v>
      </c>
    </row>
    <row r="4482" spans="27:29">
      <c r="AA4482" s="50">
        <v>232.3</v>
      </c>
      <c r="AB4482" s="51">
        <v>11.904</v>
      </c>
      <c r="AC4482" s="52">
        <f t="shared" si="601"/>
        <v>0.92430708179819654</v>
      </c>
    </row>
    <row r="4483" spans="27:29">
      <c r="AA4483" s="50">
        <v>232.2</v>
      </c>
      <c r="AB4483" s="51">
        <v>11.818</v>
      </c>
      <c r="AC4483" s="52">
        <f t="shared" si="601"/>
        <v>0.92745601435635239</v>
      </c>
    </row>
    <row r="4484" spans="27:29">
      <c r="AA4484" s="50">
        <v>232.1</v>
      </c>
      <c r="AB4484" s="51">
        <v>11.752000000000001</v>
      </c>
      <c r="AC4484" s="52">
        <f t="shared" si="601"/>
        <v>0.92988821721779991</v>
      </c>
    </row>
    <row r="4485" spans="27:29">
      <c r="AA4485" s="50">
        <v>232</v>
      </c>
      <c r="AB4485" s="51">
        <v>11.67</v>
      </c>
      <c r="AC4485" s="52">
        <f t="shared" si="601"/>
        <v>0.93292914395462978</v>
      </c>
    </row>
    <row r="4486" spans="27:29">
      <c r="AA4486" s="50">
        <v>231.9</v>
      </c>
      <c r="AB4486" s="51">
        <v>11.619</v>
      </c>
      <c r="AC4486" s="52">
        <f t="shared" si="601"/>
        <v>0.93483124829425479</v>
      </c>
    </row>
    <row r="4487" spans="27:29">
      <c r="AA4487" s="50">
        <v>231.8</v>
      </c>
      <c r="AB4487" s="51">
        <v>11.555999999999999</v>
      </c>
      <c r="AC4487" s="52">
        <f t="shared" si="601"/>
        <v>0.93719246682784063</v>
      </c>
    </row>
    <row r="4488" spans="27:29">
      <c r="AA4488" s="50">
        <v>231.7</v>
      </c>
      <c r="AB4488" s="51">
        <v>11.478999999999999</v>
      </c>
      <c r="AC4488" s="52">
        <f t="shared" si="601"/>
        <v>0.94009594411559472</v>
      </c>
    </row>
    <row r="4489" spans="27:29">
      <c r="AA4489" s="50">
        <v>231.6</v>
      </c>
      <c r="AB4489" s="51">
        <v>11.406000000000001</v>
      </c>
      <c r="AC4489" s="52">
        <f t="shared" si="601"/>
        <v>0.9428666327509132</v>
      </c>
    </row>
    <row r="4490" spans="27:29">
      <c r="AA4490" s="50">
        <v>231.5</v>
      </c>
      <c r="AB4490" s="51">
        <v>11.321</v>
      </c>
      <c r="AC4490" s="52">
        <f t="shared" ref="AC4490:AC4505" si="602">-LOG(AB4490/100)</f>
        <v>0.94611520960530793</v>
      </c>
    </row>
    <row r="4491" spans="27:29">
      <c r="AA4491" s="50">
        <v>231.4</v>
      </c>
      <c r="AB4491" s="51">
        <v>11.252000000000001</v>
      </c>
      <c r="AC4491" s="52">
        <f t="shared" si="602"/>
        <v>0.94877027650683665</v>
      </c>
    </row>
    <row r="4492" spans="27:29">
      <c r="AA4492" s="50">
        <v>231.3</v>
      </c>
      <c r="AB4492" s="51">
        <v>11.191000000000001</v>
      </c>
      <c r="AC4492" s="52">
        <f t="shared" si="602"/>
        <v>0.95113110426006942</v>
      </c>
    </row>
    <row r="4493" spans="27:29">
      <c r="AA4493" s="50">
        <v>231.2</v>
      </c>
      <c r="AB4493" s="51">
        <v>11.106999999999999</v>
      </c>
      <c r="AC4493" s="52">
        <f t="shared" si="602"/>
        <v>0.95440322813242118</v>
      </c>
    </row>
    <row r="4494" spans="27:29">
      <c r="AA4494" s="50">
        <v>231.1</v>
      </c>
      <c r="AB4494" s="51">
        <v>11.044</v>
      </c>
      <c r="AC4494" s="52">
        <f t="shared" si="602"/>
        <v>0.95687360203277438</v>
      </c>
    </row>
    <row r="4495" spans="27:29">
      <c r="AA4495" s="50">
        <v>231</v>
      </c>
      <c r="AB4495" s="51">
        <v>10.98</v>
      </c>
      <c r="AC4495" s="52">
        <f t="shared" si="602"/>
        <v>0.95939765988592685</v>
      </c>
    </row>
    <row r="4496" spans="27:29">
      <c r="AA4496" s="50">
        <v>230.9</v>
      </c>
      <c r="AB4496" s="51">
        <v>10.903</v>
      </c>
      <c r="AC4496" s="52">
        <f t="shared" si="602"/>
        <v>0.96245398791417325</v>
      </c>
    </row>
    <row r="4497" spans="27:29">
      <c r="AA4497" s="50">
        <v>230.8</v>
      </c>
      <c r="AB4497" s="51">
        <v>10.83</v>
      </c>
      <c r="AC4497" s="52">
        <f t="shared" si="602"/>
        <v>0.96537154337467956</v>
      </c>
    </row>
    <row r="4498" spans="27:29">
      <c r="AA4498" s="50">
        <v>230.7</v>
      </c>
      <c r="AB4498" s="51">
        <v>10.755000000000001</v>
      </c>
      <c r="AC4498" s="52">
        <f t="shared" si="602"/>
        <v>0.96838958527651864</v>
      </c>
    </row>
    <row r="4499" spans="27:29">
      <c r="AA4499" s="50">
        <v>230.6</v>
      </c>
      <c r="AB4499" s="51">
        <v>10.686999999999999</v>
      </c>
      <c r="AC4499" s="52">
        <f t="shared" si="602"/>
        <v>0.97114419060955604</v>
      </c>
    </row>
    <row r="4500" spans="27:29">
      <c r="AA4500" s="50">
        <v>230.5</v>
      </c>
      <c r="AB4500" s="51">
        <v>10.622999999999999</v>
      </c>
      <c r="AC4500" s="52">
        <f t="shared" si="602"/>
        <v>0.9737528185222265</v>
      </c>
    </row>
    <row r="4501" spans="27:29">
      <c r="AA4501" s="50">
        <v>230.4</v>
      </c>
      <c r="AB4501" s="51">
        <v>10.547000000000001</v>
      </c>
      <c r="AC4501" s="52">
        <f t="shared" si="602"/>
        <v>0.97687105398950425</v>
      </c>
    </row>
    <row r="4502" spans="27:29">
      <c r="AA4502" s="50">
        <v>230.3</v>
      </c>
      <c r="AB4502" s="51">
        <v>10.47</v>
      </c>
      <c r="AC4502" s="52">
        <f t="shared" si="602"/>
        <v>0.98005331832115761</v>
      </c>
    </row>
    <row r="4503" spans="27:29">
      <c r="AA4503" s="50">
        <v>230.2</v>
      </c>
      <c r="AB4503" s="51">
        <v>10.4</v>
      </c>
      <c r="AC4503" s="52">
        <f t="shared" si="602"/>
        <v>0.98296666070121963</v>
      </c>
    </row>
    <row r="4504" spans="27:29">
      <c r="AA4504" s="50">
        <v>230.1</v>
      </c>
      <c r="AB4504" s="51">
        <v>10.327999999999999</v>
      </c>
      <c r="AC4504" s="52">
        <f t="shared" si="602"/>
        <v>0.98598377074163612</v>
      </c>
    </row>
    <row r="4505" spans="27:29">
      <c r="AA4505" s="50">
        <v>230</v>
      </c>
      <c r="AB4505" s="51">
        <v>10.242000000000001</v>
      </c>
      <c r="AC4505" s="52">
        <f t="shared" si="602"/>
        <v>0.98961522850162276</v>
      </c>
    </row>
  </sheetData>
  <sheetProtection insertColumns="0" insertRows="0" selectLockedCells="1" autoFilter="0" selectUnlockedCells="1"/>
  <mergeCells count="92">
    <mergeCell ref="AD330:AD331"/>
    <mergeCell ref="I29:J29"/>
    <mergeCell ref="I30:J30"/>
    <mergeCell ref="I31:J31"/>
    <mergeCell ref="AD279:AD280"/>
    <mergeCell ref="AD304:AD305"/>
    <mergeCell ref="AD129:AD130"/>
    <mergeCell ref="AD154:AD155"/>
    <mergeCell ref="AD179:AD180"/>
    <mergeCell ref="AD229:AD230"/>
    <mergeCell ref="AD254:AD255"/>
    <mergeCell ref="AD54:AD55"/>
    <mergeCell ref="AD79:AD80"/>
    <mergeCell ref="AD104:AD105"/>
    <mergeCell ref="D35:M35"/>
    <mergeCell ref="D43:E43"/>
    <mergeCell ref="D28:E28"/>
    <mergeCell ref="D29:E29"/>
    <mergeCell ref="D30:E30"/>
    <mergeCell ref="D31:E31"/>
    <mergeCell ref="D32:E32"/>
    <mergeCell ref="K30:L30"/>
    <mergeCell ref="K32:L32"/>
    <mergeCell ref="K33:L33"/>
    <mergeCell ref="K29:L29"/>
    <mergeCell ref="K31:L31"/>
    <mergeCell ref="D359:R359"/>
    <mergeCell ref="D361:S361"/>
    <mergeCell ref="D405:L405"/>
    <mergeCell ref="D408:F408"/>
    <mergeCell ref="I408:K408"/>
    <mergeCell ref="D404:L404"/>
    <mergeCell ref="D403:L403"/>
    <mergeCell ref="A50:S50"/>
    <mergeCell ref="D48:L48"/>
    <mergeCell ref="D24:E24"/>
    <mergeCell ref="F24:G24"/>
    <mergeCell ref="H24:I24"/>
    <mergeCell ref="J24:L24"/>
    <mergeCell ref="D27:L27"/>
    <mergeCell ref="D44:E44"/>
    <mergeCell ref="D45:E45"/>
    <mergeCell ref="D46:E46"/>
    <mergeCell ref="D36:E36"/>
    <mergeCell ref="D37:E38"/>
    <mergeCell ref="D39:E40"/>
    <mergeCell ref="D42:L42"/>
    <mergeCell ref="K36:M36"/>
    <mergeCell ref="K28:L28"/>
    <mergeCell ref="J23:L23"/>
    <mergeCell ref="J22:L22"/>
    <mergeCell ref="D20:E20"/>
    <mergeCell ref="F20:G20"/>
    <mergeCell ref="H20:I20"/>
    <mergeCell ref="D21:E21"/>
    <mergeCell ref="F21:H21"/>
    <mergeCell ref="D22:E22"/>
    <mergeCell ref="F22:H22"/>
    <mergeCell ref="D23:E23"/>
    <mergeCell ref="F23:G23"/>
    <mergeCell ref="H23:I23"/>
    <mergeCell ref="D19:E19"/>
    <mergeCell ref="F19:G19"/>
    <mergeCell ref="H19:I19"/>
    <mergeCell ref="K20:L20"/>
    <mergeCell ref="J21:L21"/>
    <mergeCell ref="E5:F5"/>
    <mergeCell ref="D16:L16"/>
    <mergeCell ref="D17:I17"/>
    <mergeCell ref="D18:I18"/>
    <mergeCell ref="J18:L18"/>
    <mergeCell ref="D2:H3"/>
    <mergeCell ref="I2:L2"/>
    <mergeCell ref="I3:L3"/>
    <mergeCell ref="D4:F4"/>
    <mergeCell ref="J4:L4"/>
    <mergeCell ref="AD204:AD205"/>
    <mergeCell ref="I32:J32"/>
    <mergeCell ref="I33:J33"/>
    <mergeCell ref="D11:L11"/>
    <mergeCell ref="G4:H4"/>
    <mergeCell ref="G5:H5"/>
    <mergeCell ref="E8:L8"/>
    <mergeCell ref="E9:J9"/>
    <mergeCell ref="E12:L12"/>
    <mergeCell ref="E13:J13"/>
    <mergeCell ref="D33:E33"/>
    <mergeCell ref="D10:L10"/>
    <mergeCell ref="K19:L19"/>
    <mergeCell ref="J5:L5"/>
    <mergeCell ref="D6:L6"/>
    <mergeCell ref="D7:L7"/>
  </mergeCells>
  <phoneticPr fontId="15" type="noConversion"/>
  <pageMargins left="0.511811024" right="0.511811024" top="0.78740157499999996" bottom="0.78740157499999996" header="0.31496062000000002" footer="0.31496062000000002"/>
  <pageSetup paperSize="9" scale="7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A7A11-5F78-4986-9C90-1D447E608987}">
  <dimension ref="A2:DE4505"/>
  <sheetViews>
    <sheetView topLeftCell="A22" zoomScaleNormal="100" zoomScaleSheetLayoutView="100" workbookViewId="0">
      <selection activeCell="H44" sqref="H44"/>
    </sheetView>
  </sheetViews>
  <sheetFormatPr defaultRowHeight="15"/>
  <cols>
    <col min="1" max="5" width="11.28515625" customWidth="1"/>
    <col min="6" max="6" width="12.85546875" customWidth="1"/>
    <col min="7" max="8" width="11.28515625" customWidth="1"/>
    <col min="9" max="9" width="12.5703125" customWidth="1"/>
    <col min="10" max="11" width="11.28515625" customWidth="1"/>
    <col min="12" max="12" width="12.140625" customWidth="1"/>
    <col min="13" max="13" width="11.85546875" customWidth="1"/>
    <col min="14" max="19" width="11.28515625" customWidth="1"/>
    <col min="20" max="20" width="5.7109375" customWidth="1"/>
    <col min="21" max="21" width="9.28515625" customWidth="1"/>
    <col min="22" max="22" width="10.42578125" customWidth="1"/>
    <col min="23" max="24" width="9.28515625" customWidth="1"/>
    <col min="25" max="25" width="9.42578125" customWidth="1"/>
    <col min="26" max="26" width="13" customWidth="1"/>
    <col min="27" max="29" width="9.42578125" customWidth="1"/>
    <col min="30" max="30" width="18.140625" customWidth="1"/>
    <col min="31" max="31" width="18" customWidth="1"/>
    <col min="32" max="32" width="18.140625" customWidth="1"/>
    <col min="33" max="33" width="12.42578125" customWidth="1"/>
    <col min="34" max="47" width="9.28515625" customWidth="1"/>
    <col min="48" max="48" width="9" customWidth="1"/>
  </cols>
  <sheetData>
    <row r="2" spans="4:39">
      <c r="D2" s="769" t="s">
        <v>0</v>
      </c>
      <c r="E2" s="770"/>
      <c r="F2" s="770"/>
      <c r="G2" s="770"/>
      <c r="H2" s="771"/>
      <c r="I2" s="762" t="s">
        <v>1</v>
      </c>
      <c r="J2" s="762"/>
      <c r="K2" s="762"/>
      <c r="L2" s="763"/>
      <c r="O2" s="73"/>
    </row>
    <row r="3" spans="4:39" ht="15" customHeight="1">
      <c r="D3" s="772"/>
      <c r="E3" s="773"/>
      <c r="F3" s="773"/>
      <c r="G3" s="773"/>
      <c r="H3" s="774"/>
      <c r="I3" s="775" t="str">
        <f>IF('Registro Original'!I3:L3 = "", "", 'Registro Original'!I3:L3)</f>
        <v>XX/2021</v>
      </c>
      <c r="J3" s="775"/>
      <c r="K3" s="775"/>
      <c r="L3" s="776"/>
      <c r="AD3" s="49" t="s">
        <v>73</v>
      </c>
      <c r="AE3" s="49"/>
      <c r="AF3" s="49"/>
      <c r="AI3" s="473" t="s">
        <v>75</v>
      </c>
      <c r="AL3" s="54" t="s">
        <v>76</v>
      </c>
      <c r="AM3" t="s">
        <v>83</v>
      </c>
    </row>
    <row r="4" spans="4:39">
      <c r="D4" s="761" t="s">
        <v>2</v>
      </c>
      <c r="E4" s="762"/>
      <c r="F4" s="763"/>
      <c r="G4" s="752" t="s">
        <v>3</v>
      </c>
      <c r="H4" s="753"/>
      <c r="I4" s="416">
        <f>IF('Registro Original'!I4 = "", "", 'Registro Original'!I4)</f>
        <v>44410</v>
      </c>
      <c r="J4" s="762" t="s">
        <v>4</v>
      </c>
      <c r="K4" s="762"/>
      <c r="L4" s="763"/>
      <c r="R4" s="1"/>
      <c r="S4" s="1"/>
      <c r="AD4" s="49" t="s">
        <v>74</v>
      </c>
      <c r="AE4" s="49" t="s">
        <v>60</v>
      </c>
      <c r="AF4" s="49" t="s">
        <v>59</v>
      </c>
    </row>
    <row r="5" spans="4:39">
      <c r="D5" s="415" t="s">
        <v>229</v>
      </c>
      <c r="E5" s="777" t="str">
        <f>IF('Registro Original'!E5:F5 = "", "", 'Registro Original'!E5:F5)</f>
        <v>2021-XXXXX GU</v>
      </c>
      <c r="F5" s="778"/>
      <c r="G5" s="752" t="s">
        <v>232</v>
      </c>
      <c r="H5" s="753"/>
      <c r="I5" s="416">
        <f>IF('Registro Original'!I5 = "", "", 'Registro Original'!I5)</f>
        <v>44434</v>
      </c>
      <c r="J5" s="766" t="str">
        <f xml:space="preserve"> IF('Registro Original'!J5:L5 = "", "", 'Registro Original'!J5:L5)</f>
        <v/>
      </c>
      <c r="K5" s="767"/>
      <c r="L5" s="768"/>
      <c r="AD5" s="50">
        <v>680</v>
      </c>
      <c r="AE5" s="51">
        <v>90.355000000000004</v>
      </c>
      <c r="AF5" s="52">
        <f t="shared" ref="AF5:AF68" si="0">-LOG(AE5/100)</f>
        <v>4.4047809762410475E-2</v>
      </c>
      <c r="AH5" s="74"/>
      <c r="AI5" s="75" t="s">
        <v>77</v>
      </c>
      <c r="AJ5" s="76"/>
    </row>
    <row r="6" spans="4:39">
      <c r="D6" s="761" t="s">
        <v>5</v>
      </c>
      <c r="E6" s="762"/>
      <c r="F6" s="762"/>
      <c r="G6" s="762"/>
      <c r="H6" s="762"/>
      <c r="I6" s="762"/>
      <c r="J6" s="762"/>
      <c r="K6" s="762"/>
      <c r="L6" s="763"/>
      <c r="AD6" s="50">
        <v>679.9</v>
      </c>
      <c r="AE6" s="51">
        <v>90.343999999999994</v>
      </c>
      <c r="AF6" s="52">
        <f t="shared" si="0"/>
        <v>4.4100684867495105E-2</v>
      </c>
      <c r="AH6" s="77"/>
      <c r="AI6" s="78" t="s">
        <v>78</v>
      </c>
      <c r="AJ6" s="79"/>
    </row>
    <row r="7" spans="4:39" ht="15.75">
      <c r="D7" s="749" t="str">
        <f>IF('Registro Original'!D7:L7 = "", "", 'Registro Original'!D7:L7)</f>
        <v>FURP - Fundação para o Remédio Popular</v>
      </c>
      <c r="E7" s="750"/>
      <c r="F7" s="750"/>
      <c r="G7" s="750"/>
      <c r="H7" s="750"/>
      <c r="I7" s="750"/>
      <c r="J7" s="750"/>
      <c r="K7" s="750"/>
      <c r="L7" s="751"/>
      <c r="AD7" s="50">
        <v>679.8</v>
      </c>
      <c r="AE7" s="51">
        <v>90.417000000000002</v>
      </c>
      <c r="AF7" s="52">
        <f t="shared" si="0"/>
        <v>4.3749906780380231E-2</v>
      </c>
      <c r="AH7" s="77"/>
      <c r="AI7" s="599" t="s">
        <v>79</v>
      </c>
      <c r="AJ7" s="81"/>
    </row>
    <row r="8" spans="4:39" ht="15.75">
      <c r="D8" s="419" t="s">
        <v>6</v>
      </c>
      <c r="E8" s="754" t="str">
        <f>IF('Registro Original'!E8:L8 = "", "", 'Registro Original'!E8:L8)</f>
        <v>Rua Endres, 35</v>
      </c>
      <c r="F8" s="754"/>
      <c r="G8" s="754"/>
      <c r="H8" s="754"/>
      <c r="I8" s="754"/>
      <c r="J8" s="754"/>
      <c r="K8" s="754"/>
      <c r="L8" s="755"/>
      <c r="AD8" s="50">
        <v>679.7</v>
      </c>
      <c r="AE8" s="51">
        <v>90.328000000000003</v>
      </c>
      <c r="AF8" s="52">
        <f t="shared" si="0"/>
        <v>4.4177605604838022E-2</v>
      </c>
      <c r="AH8" s="55"/>
      <c r="AI8" s="473" t="s">
        <v>80</v>
      </c>
      <c r="AJ8" s="13"/>
    </row>
    <row r="9" spans="4:39" ht="15.75" customHeight="1">
      <c r="D9" s="419" t="s">
        <v>234</v>
      </c>
      <c r="E9" s="756" t="str">
        <f>IF('Registro Original'!E9:J9 = "", "", 'Registro Original'!E9:J9)</f>
        <v>Guarulhos</v>
      </c>
      <c r="F9" s="756"/>
      <c r="G9" s="756"/>
      <c r="H9" s="756"/>
      <c r="I9" s="756"/>
      <c r="J9" s="756"/>
      <c r="K9" s="720" t="s">
        <v>200</v>
      </c>
      <c r="L9" s="417" t="str">
        <f>'Registro Original'!L9</f>
        <v>07056-000</v>
      </c>
      <c r="N9" t="s">
        <v>235</v>
      </c>
      <c r="T9" s="71"/>
      <c r="U9" s="71"/>
      <c r="V9" s="71"/>
      <c r="W9" s="71"/>
      <c r="X9" s="71"/>
      <c r="Y9" s="71"/>
      <c r="Z9" s="71"/>
      <c r="AA9" s="71"/>
      <c r="AB9" s="71"/>
      <c r="AC9" s="71"/>
      <c r="AD9" s="50">
        <v>679.6</v>
      </c>
      <c r="AE9" s="51">
        <v>90.322999999999993</v>
      </c>
      <c r="AF9" s="52">
        <f t="shared" si="0"/>
        <v>4.4201646129496897E-2</v>
      </c>
      <c r="AH9" s="56">
        <v>11</v>
      </c>
      <c r="AI9" s="473">
        <v>637.5</v>
      </c>
      <c r="AJ9" s="13"/>
    </row>
    <row r="10" spans="4:39" ht="15.75" customHeight="1">
      <c r="D10" s="761" t="s">
        <v>230</v>
      </c>
      <c r="E10" s="762"/>
      <c r="F10" s="762"/>
      <c r="G10" s="762"/>
      <c r="H10" s="762"/>
      <c r="I10" s="762"/>
      <c r="J10" s="762"/>
      <c r="K10" s="762"/>
      <c r="L10" s="763"/>
      <c r="T10" s="71"/>
      <c r="U10" s="71"/>
      <c r="V10" s="71"/>
      <c r="W10" s="71"/>
      <c r="X10" s="71"/>
      <c r="Y10" s="71"/>
      <c r="Z10" s="71"/>
      <c r="AA10" s="71"/>
      <c r="AB10" s="71"/>
      <c r="AC10" s="71"/>
      <c r="AD10" s="50">
        <v>679.5</v>
      </c>
      <c r="AE10" s="51">
        <v>90.281999999999996</v>
      </c>
      <c r="AF10" s="52">
        <f t="shared" si="0"/>
        <v>4.4398828644531554E-2</v>
      </c>
      <c r="AH10" s="56">
        <v>10</v>
      </c>
      <c r="AI10" s="473">
        <v>536.4</v>
      </c>
      <c r="AJ10" s="13"/>
    </row>
    <row r="11" spans="4:39" ht="15.75" customHeight="1">
      <c r="D11" s="749" t="str">
        <f>IF('Registro Original'!D11:L11 = "", "", 'Registro Original'!D11:L11)</f>
        <v/>
      </c>
      <c r="E11" s="750"/>
      <c r="F11" s="750"/>
      <c r="G11" s="750"/>
      <c r="H11" s="750"/>
      <c r="I11" s="750"/>
      <c r="J11" s="750"/>
      <c r="K11" s="750"/>
      <c r="L11" s="751"/>
      <c r="T11" s="71"/>
      <c r="U11" s="71"/>
      <c r="V11" s="71"/>
      <c r="W11" s="71"/>
      <c r="X11" s="71"/>
      <c r="Y11" s="71"/>
      <c r="Z11" s="71"/>
      <c r="AA11" s="71"/>
      <c r="AB11" s="71"/>
      <c r="AC11" s="71"/>
      <c r="AD11" s="50">
        <v>679.4</v>
      </c>
      <c r="AE11" s="51">
        <v>90.334000000000003</v>
      </c>
      <c r="AF11" s="52">
        <f t="shared" si="0"/>
        <v>4.4148758731755965E-2</v>
      </c>
      <c r="AH11" s="56">
        <v>9</v>
      </c>
      <c r="AI11" s="473">
        <v>459.9</v>
      </c>
      <c r="AJ11" s="13"/>
    </row>
    <row r="12" spans="4:39" ht="15.75" customHeight="1">
      <c r="D12" s="419" t="s">
        <v>6</v>
      </c>
      <c r="E12" s="754" t="str">
        <f>IF('Registro Original'!E12:L12 = "", "", 'Registro Original'!E12:L12)</f>
        <v/>
      </c>
      <c r="F12" s="754"/>
      <c r="G12" s="754"/>
      <c r="H12" s="754"/>
      <c r="I12" s="754"/>
      <c r="J12" s="754"/>
      <c r="K12" s="754"/>
      <c r="L12" s="755"/>
      <c r="T12" s="71"/>
      <c r="U12" s="71"/>
      <c r="V12" s="71"/>
      <c r="W12" s="71"/>
      <c r="X12" s="71"/>
      <c r="Y12" s="71"/>
      <c r="Z12" s="71"/>
      <c r="AA12" s="71"/>
      <c r="AB12" s="71"/>
      <c r="AC12" s="71"/>
      <c r="AD12" s="50">
        <v>679.3</v>
      </c>
      <c r="AE12" s="51">
        <v>90.346999999999994</v>
      </c>
      <c r="AF12" s="52">
        <f t="shared" si="0"/>
        <v>4.4086263745847287E-2</v>
      </c>
      <c r="AH12" s="56">
        <v>8</v>
      </c>
      <c r="AI12" s="473">
        <v>453.4</v>
      </c>
      <c r="AJ12" s="13"/>
    </row>
    <row r="13" spans="4:39" ht="15.75" customHeight="1">
      <c r="D13" s="420" t="s">
        <v>234</v>
      </c>
      <c r="E13" s="756" t="str">
        <f>IF('Registro Original'!E13:J13 = "", "", 'Registro Original'!E13:J13)</f>
        <v/>
      </c>
      <c r="F13" s="756"/>
      <c r="G13" s="756"/>
      <c r="H13" s="756"/>
      <c r="I13" s="756"/>
      <c r="J13" s="756"/>
      <c r="K13" s="720" t="s">
        <v>200</v>
      </c>
      <c r="L13" s="417" t="str">
        <f>IF('Registro Original'!L13 = "", "", 'Registro Original'!L13)</f>
        <v/>
      </c>
      <c r="T13" s="71"/>
      <c r="U13" s="71"/>
      <c r="V13" s="71"/>
      <c r="W13" s="71"/>
      <c r="X13" s="71"/>
      <c r="Y13" s="71"/>
      <c r="Z13" s="71"/>
      <c r="AA13" s="71"/>
      <c r="AB13" s="71"/>
      <c r="AC13" s="71"/>
      <c r="AD13" s="50">
        <v>679.2</v>
      </c>
      <c r="AE13" s="51">
        <v>90.344999999999999</v>
      </c>
      <c r="AF13" s="52">
        <f t="shared" si="0"/>
        <v>4.4095877773738315E-2</v>
      </c>
      <c r="AH13" s="56">
        <v>7</v>
      </c>
      <c r="AI13" s="473">
        <v>418.5</v>
      </c>
      <c r="AJ13" s="13"/>
    </row>
    <row r="14" spans="4:39">
      <c r="AD14" s="50">
        <v>679.1</v>
      </c>
      <c r="AE14" s="51">
        <v>90.34</v>
      </c>
      <c r="AF14" s="52">
        <f t="shared" si="0"/>
        <v>4.4119913774624611E-2</v>
      </c>
      <c r="AH14" s="56">
        <v>6</v>
      </c>
      <c r="AI14" s="473">
        <v>385.8</v>
      </c>
      <c r="AJ14" s="13"/>
    </row>
    <row r="15" spans="4:39">
      <c r="AD15" s="50">
        <v>679</v>
      </c>
      <c r="AE15" s="51">
        <v>90.302999999999997</v>
      </c>
      <c r="AF15" s="52">
        <f t="shared" si="0"/>
        <v>4.4297821538060021E-2</v>
      </c>
      <c r="AH15" s="56">
        <v>5</v>
      </c>
      <c r="AI15" s="473">
        <v>360.8</v>
      </c>
      <c r="AJ15" s="13"/>
    </row>
    <row r="16" spans="4:39" ht="18.75">
      <c r="D16" s="779" t="s">
        <v>67</v>
      </c>
      <c r="E16" s="780"/>
      <c r="F16" s="780"/>
      <c r="G16" s="780"/>
      <c r="H16" s="780"/>
      <c r="I16" s="780"/>
      <c r="J16" s="780"/>
      <c r="K16" s="780"/>
      <c r="L16" s="781"/>
      <c r="AD16" s="50">
        <v>678.9</v>
      </c>
      <c r="AE16" s="51">
        <v>90.33</v>
      </c>
      <c r="AF16" s="52">
        <f t="shared" si="0"/>
        <v>4.4167989767578249E-2</v>
      </c>
      <c r="AH16" s="56">
        <v>4</v>
      </c>
      <c r="AI16" s="473">
        <v>333.8</v>
      </c>
      <c r="AJ16" s="13"/>
    </row>
    <row r="17" spans="4:36">
      <c r="D17" s="761" t="s">
        <v>8</v>
      </c>
      <c r="E17" s="762"/>
      <c r="F17" s="762"/>
      <c r="G17" s="762"/>
      <c r="H17" s="762"/>
      <c r="I17" s="763"/>
      <c r="J17" s="591" t="s">
        <v>36</v>
      </c>
      <c r="K17" s="592"/>
      <c r="L17" s="593"/>
      <c r="AD17" s="50">
        <v>678.8</v>
      </c>
      <c r="AE17" s="51">
        <v>90.301000000000002</v>
      </c>
      <c r="AF17" s="52">
        <f t="shared" si="0"/>
        <v>4.4307440250423456E-2</v>
      </c>
      <c r="AH17" s="56">
        <v>3</v>
      </c>
      <c r="AI17" s="473">
        <v>287.60000000000002</v>
      </c>
      <c r="AJ17" s="13"/>
    </row>
    <row r="18" spans="4:36">
      <c r="D18" s="782" t="str">
        <f>IF('Registro Original'!D18:I18 = "", "", 'Registro Original'!D18:I18)</f>
        <v>Espectrofotômetro</v>
      </c>
      <c r="E18" s="767"/>
      <c r="F18" s="767"/>
      <c r="G18" s="767"/>
      <c r="H18" s="767"/>
      <c r="I18" s="768"/>
      <c r="J18" s="783">
        <f>IF('Registro Original'!J18:L18 = "", "", 'Registro Original'!J18:L18)</f>
        <v>12</v>
      </c>
      <c r="K18" s="784"/>
      <c r="L18" s="785"/>
      <c r="AD18" s="50">
        <v>678.7</v>
      </c>
      <c r="AE18" s="51">
        <v>90.305000000000007</v>
      </c>
      <c r="AF18" s="52">
        <f t="shared" si="0"/>
        <v>4.428820303872618E-2</v>
      </c>
      <c r="AH18" s="56">
        <v>2</v>
      </c>
      <c r="AI18" s="473">
        <v>279.3</v>
      </c>
      <c r="AJ18" s="13"/>
    </row>
    <row r="19" spans="4:36">
      <c r="D19" s="761" t="s">
        <v>9</v>
      </c>
      <c r="E19" s="763"/>
      <c r="F19" s="762" t="s">
        <v>10</v>
      </c>
      <c r="G19" s="762"/>
      <c r="H19" s="761" t="s">
        <v>236</v>
      </c>
      <c r="I19" s="763"/>
      <c r="J19" s="418" t="s">
        <v>11</v>
      </c>
      <c r="K19" s="764" t="str">
        <f xml:space="preserve"> IF('Registro Original'!K19:L19 = "", "", 'Registro Original'!K19:L19)</f>
        <v/>
      </c>
      <c r="L19" s="765"/>
      <c r="N19" t="s">
        <v>354</v>
      </c>
      <c r="O19" t="s">
        <v>355</v>
      </c>
      <c r="AD19" s="50">
        <v>678.6</v>
      </c>
      <c r="AE19" s="51">
        <v>90.263000000000005</v>
      </c>
      <c r="AF19" s="52">
        <f t="shared" si="0"/>
        <v>4.4490236273506269E-2</v>
      </c>
      <c r="AH19" s="57">
        <v>1</v>
      </c>
      <c r="AI19" s="58">
        <v>241.5</v>
      </c>
      <c r="AJ19" s="15"/>
    </row>
    <row r="20" spans="4:36">
      <c r="D20" s="782" t="str">
        <f>IF('Registro Original'!D20:E20 = "", "", 'Registro Original'!D20:E20)</f>
        <v>Micronal</v>
      </c>
      <c r="E20" s="768"/>
      <c r="F20" s="788" t="str">
        <f>IF('Registro Original'!F20:G20 = "", "", 'Registro Original'!F20:G20)</f>
        <v>AJS-1000</v>
      </c>
      <c r="G20" s="789"/>
      <c r="H20" s="782" t="str">
        <f>IF('Registro Original'!H20:I20 = "", "", 'Registro Original'!H20:I20)</f>
        <v/>
      </c>
      <c r="I20" s="768"/>
      <c r="J20" s="418" t="s">
        <v>237</v>
      </c>
      <c r="K20" s="764" t="str">
        <f>IF('Registro Original'!K20:L20 = "", "", 'Registro Original'!K20:L20)</f>
        <v/>
      </c>
      <c r="L20" s="765"/>
      <c r="AD20" s="50">
        <v>678.5</v>
      </c>
      <c r="AE20" s="51">
        <v>90.346000000000004</v>
      </c>
      <c r="AF20" s="52">
        <f t="shared" si="0"/>
        <v>4.4091070733189415E-2</v>
      </c>
    </row>
    <row r="21" spans="4:36">
      <c r="D21" s="790" t="s">
        <v>12</v>
      </c>
      <c r="E21" s="786"/>
      <c r="F21" s="790" t="s">
        <v>13</v>
      </c>
      <c r="G21" s="786"/>
      <c r="H21" s="787"/>
      <c r="I21" s="421" t="s">
        <v>210</v>
      </c>
      <c r="J21" s="764" t="str">
        <f>IF('Registro Original'!J21:L21 = "", "", 'Registro Original'!J21:L21)</f>
        <v>Laboratório de Óptica</v>
      </c>
      <c r="K21" s="764"/>
      <c r="L21" s="765"/>
      <c r="AD21" s="50">
        <v>678.4</v>
      </c>
      <c r="AE21" s="51">
        <v>90.353999999999999</v>
      </c>
      <c r="AF21" s="52">
        <f t="shared" si="0"/>
        <v>4.4052616324141328E-2</v>
      </c>
    </row>
    <row r="22" spans="4:36">
      <c r="D22" s="782" t="s">
        <v>48</v>
      </c>
      <c r="E22" s="767"/>
      <c r="F22" s="782" t="str">
        <f>IF('Registro Original'!F22:H22 = "", "", 'Registro Original'!F22:H22)</f>
        <v>Visomes</v>
      </c>
      <c r="G22" s="791"/>
      <c r="H22" s="792"/>
      <c r="I22" s="446" t="s">
        <v>211</v>
      </c>
      <c r="J22" s="784" t="str">
        <f>IF('Registro Original'!J22:L22 = "", "", 'Registro Original'!J22:L22)</f>
        <v/>
      </c>
      <c r="K22" s="784"/>
      <c r="L22" s="785"/>
      <c r="AD22" s="50">
        <v>678.3</v>
      </c>
      <c r="AE22" s="51">
        <v>90.29</v>
      </c>
      <c r="AF22" s="52">
        <f t="shared" si="0"/>
        <v>4.4360346976748039E-2</v>
      </c>
    </row>
    <row r="23" spans="4:36">
      <c r="D23" s="790" t="s">
        <v>263</v>
      </c>
      <c r="E23" s="787"/>
      <c r="F23" s="786" t="s">
        <v>264</v>
      </c>
      <c r="G23" s="786"/>
      <c r="H23" s="790" t="s">
        <v>17</v>
      </c>
      <c r="I23" s="787"/>
      <c r="J23" s="786" t="s">
        <v>18</v>
      </c>
      <c r="K23" s="786"/>
      <c r="L23" s="787"/>
      <c r="AD23" s="50">
        <v>678.2</v>
      </c>
      <c r="AE23" s="51">
        <v>90.266999999999996</v>
      </c>
      <c r="AF23" s="52">
        <f t="shared" si="0"/>
        <v>4.4470990963276454E-2</v>
      </c>
    </row>
    <row r="24" spans="4:36">
      <c r="D24" s="783">
        <f>IF('Registro Original'!D24:E24 = "", "", 'Registro Original'!D24:E24)</f>
        <v>325</v>
      </c>
      <c r="E24" s="785"/>
      <c r="F24" s="783">
        <f>IF('Registro Original'!F24:G24 = "", "", 'Registro Original'!F24:G24)</f>
        <v>1000</v>
      </c>
      <c r="G24" s="785"/>
      <c r="H24" s="782" t="str">
        <f>IF('Registro Original'!H24:I24 = "", "", 'Registro Original'!H24:I24)</f>
        <v>Absorbância</v>
      </c>
      <c r="I24" s="768"/>
      <c r="J24" s="797" t="str">
        <f>IF('Registro Original'!J24:L24 = "", "", 'Registro Original'!J24:L24)</f>
        <v>AIB00010-0</v>
      </c>
      <c r="K24" s="797"/>
      <c r="L24" s="798"/>
      <c r="P24" s="72"/>
      <c r="Q24" s="72"/>
      <c r="R24" s="72"/>
      <c r="S24" s="72"/>
      <c r="T24" s="72"/>
      <c r="U24" s="72"/>
      <c r="V24" s="72"/>
      <c r="W24" s="72"/>
      <c r="X24" s="72"/>
      <c r="Y24" s="72"/>
      <c r="Z24" s="72"/>
      <c r="AA24" s="72"/>
      <c r="AB24" s="72"/>
      <c r="AC24" s="72"/>
      <c r="AD24" s="50">
        <v>678.1</v>
      </c>
      <c r="AE24" s="51">
        <v>90.302999999999997</v>
      </c>
      <c r="AF24" s="52">
        <f t="shared" si="0"/>
        <v>4.4297821538060021E-2</v>
      </c>
    </row>
    <row r="25" spans="4:36">
      <c r="AD25" s="50">
        <v>678</v>
      </c>
      <c r="AE25" s="51">
        <v>90.340999999999994</v>
      </c>
      <c r="AF25" s="52">
        <f t="shared" si="0"/>
        <v>4.4115106468024516E-2</v>
      </c>
    </row>
    <row r="26" spans="4:36">
      <c r="T26" s="473"/>
      <c r="AD26" s="50">
        <v>677.9</v>
      </c>
      <c r="AE26" s="51">
        <v>90.337999999999994</v>
      </c>
      <c r="AF26" s="52">
        <f t="shared" si="0"/>
        <v>4.4129528547467378E-2</v>
      </c>
    </row>
    <row r="27" spans="4:36" ht="18.75">
      <c r="D27" s="779" t="s">
        <v>19</v>
      </c>
      <c r="E27" s="780"/>
      <c r="F27" s="780"/>
      <c r="G27" s="780"/>
      <c r="H27" s="780"/>
      <c r="I27" s="780"/>
      <c r="J27" s="780"/>
      <c r="K27" s="780"/>
      <c r="L27" s="781"/>
      <c r="M27" s="31"/>
      <c r="N27" s="31"/>
      <c r="O27" s="73"/>
      <c r="P27" s="31"/>
      <c r="Q27" s="31"/>
      <c r="AD27" s="50">
        <v>677.8</v>
      </c>
      <c r="AE27" s="51">
        <v>90.317999999999998</v>
      </c>
      <c r="AF27" s="52">
        <f t="shared" si="0"/>
        <v>4.4225687985001136E-2</v>
      </c>
    </row>
    <row r="28" spans="4:36">
      <c r="D28" s="812" t="s">
        <v>102</v>
      </c>
      <c r="E28" s="821"/>
      <c r="F28" s="424" t="s">
        <v>240</v>
      </c>
      <c r="G28" s="422" t="s">
        <v>11</v>
      </c>
      <c r="H28" s="141" t="s">
        <v>64</v>
      </c>
      <c r="I28" s="425" t="s">
        <v>213</v>
      </c>
      <c r="J28" s="423"/>
      <c r="K28" s="812" t="s">
        <v>214</v>
      </c>
      <c r="L28" s="813"/>
      <c r="M28" s="423" t="s">
        <v>243</v>
      </c>
      <c r="O28" s="22"/>
      <c r="P28" s="22"/>
      <c r="Q28" s="22"/>
      <c r="AD28" s="50">
        <v>677.7</v>
      </c>
      <c r="AE28" s="51">
        <v>90.284999999999997</v>
      </c>
      <c r="AF28" s="52">
        <f t="shared" si="0"/>
        <v>4.4384397619528886E-2</v>
      </c>
    </row>
    <row r="29" spans="4:36">
      <c r="D29" s="759" t="s">
        <v>238</v>
      </c>
      <c r="E29" s="760"/>
      <c r="F29" s="434">
        <v>203</v>
      </c>
      <c r="G29" s="435" t="s">
        <v>46</v>
      </c>
      <c r="H29" s="436"/>
      <c r="I29" s="747" t="s">
        <v>241</v>
      </c>
      <c r="J29" s="748"/>
      <c r="K29" s="747" t="s">
        <v>245</v>
      </c>
      <c r="L29" s="748"/>
      <c r="M29" s="439">
        <v>44927</v>
      </c>
      <c r="P29" s="22"/>
      <c r="Q29" s="22"/>
      <c r="AD29" s="50">
        <v>677.6</v>
      </c>
      <c r="AE29" s="51">
        <v>90.244</v>
      </c>
      <c r="AF29" s="52">
        <f t="shared" si="0"/>
        <v>4.4581663145446274E-2</v>
      </c>
    </row>
    <row r="30" spans="4:36">
      <c r="D30" s="759" t="s">
        <v>239</v>
      </c>
      <c r="E30" s="760"/>
      <c r="F30" s="434">
        <v>203</v>
      </c>
      <c r="G30" s="435" t="s">
        <v>68</v>
      </c>
      <c r="H30" s="434">
        <v>1</v>
      </c>
      <c r="I30" s="747" t="s">
        <v>241</v>
      </c>
      <c r="J30" s="748"/>
      <c r="K30" s="747" t="s">
        <v>244</v>
      </c>
      <c r="L30" s="748"/>
      <c r="M30" s="439">
        <v>44927</v>
      </c>
      <c r="P30" s="22"/>
      <c r="Q30" s="22"/>
      <c r="AD30" s="50">
        <v>677.5</v>
      </c>
      <c r="AE30" s="51">
        <v>90.262</v>
      </c>
      <c r="AF30" s="52">
        <f t="shared" si="0"/>
        <v>4.4495047734322335E-2</v>
      </c>
    </row>
    <row r="31" spans="4:36">
      <c r="D31" s="759" t="s">
        <v>239</v>
      </c>
      <c r="E31" s="760"/>
      <c r="F31" s="434">
        <v>203</v>
      </c>
      <c r="G31" s="435" t="s">
        <v>69</v>
      </c>
      <c r="H31" s="437">
        <v>0.5</v>
      </c>
      <c r="I31" s="747" t="s">
        <v>241</v>
      </c>
      <c r="J31" s="748"/>
      <c r="K31" s="747" t="s">
        <v>244</v>
      </c>
      <c r="L31" s="748"/>
      <c r="M31" s="439">
        <v>44927</v>
      </c>
      <c r="P31" s="22"/>
      <c r="Q31" s="22"/>
      <c r="AD31" s="50">
        <v>677.4</v>
      </c>
      <c r="AE31" s="51">
        <v>90.272999999999996</v>
      </c>
      <c r="AF31" s="52">
        <f t="shared" si="0"/>
        <v>4.444212459690472E-2</v>
      </c>
    </row>
    <row r="32" spans="4:36">
      <c r="D32" s="759" t="s">
        <v>239</v>
      </c>
      <c r="E32" s="760"/>
      <c r="F32" s="434">
        <v>203</v>
      </c>
      <c r="G32" s="435" t="s">
        <v>45</v>
      </c>
      <c r="H32" s="434">
        <v>0.25</v>
      </c>
      <c r="I32" s="747" t="s">
        <v>241</v>
      </c>
      <c r="J32" s="748"/>
      <c r="K32" s="747" t="s">
        <v>244</v>
      </c>
      <c r="L32" s="748"/>
      <c r="M32" s="439">
        <v>44927</v>
      </c>
      <c r="P32" s="22"/>
      <c r="Q32" s="22"/>
      <c r="AD32" s="50">
        <v>677.3</v>
      </c>
      <c r="AE32" s="51">
        <v>90.278999999999996</v>
      </c>
      <c r="AF32" s="52">
        <f t="shared" si="0"/>
        <v>4.4413260149073826E-2</v>
      </c>
    </row>
    <row r="33" spans="4:43">
      <c r="D33" s="759" t="s">
        <v>103</v>
      </c>
      <c r="E33" s="760"/>
      <c r="F33" s="434"/>
      <c r="G33" s="435"/>
      <c r="H33" s="434"/>
      <c r="I33" s="747" t="s">
        <v>242</v>
      </c>
      <c r="J33" s="748"/>
      <c r="K33" s="819"/>
      <c r="L33" s="820"/>
      <c r="M33" s="438"/>
      <c r="P33" s="22"/>
      <c r="Q33" s="22"/>
      <c r="AD33" s="50">
        <v>677.2</v>
      </c>
      <c r="AE33" s="51">
        <v>90.27</v>
      </c>
      <c r="AF33" s="52">
        <f t="shared" si="0"/>
        <v>4.4456557540257034E-2</v>
      </c>
    </row>
    <row r="34" spans="4:43">
      <c r="D34" s="22"/>
      <c r="E34" s="22"/>
      <c r="F34" s="22"/>
      <c r="G34" s="22"/>
      <c r="H34" s="22"/>
      <c r="I34" s="22"/>
      <c r="J34" s="22"/>
      <c r="K34" s="22"/>
      <c r="L34" s="22"/>
      <c r="M34" s="22"/>
      <c r="N34" s="22"/>
      <c r="O34" s="22"/>
      <c r="P34" s="22"/>
      <c r="Q34" s="22"/>
      <c r="AD34" s="50">
        <v>677.1</v>
      </c>
      <c r="AE34" s="51">
        <v>90.287000000000006</v>
      </c>
      <c r="AF34" s="52">
        <f t="shared" si="0"/>
        <v>4.4374777202588853E-2</v>
      </c>
    </row>
    <row r="35" spans="4:43" ht="18.75">
      <c r="D35" s="779" t="s">
        <v>65</v>
      </c>
      <c r="E35" s="780"/>
      <c r="F35" s="780"/>
      <c r="G35" s="780"/>
      <c r="H35" s="780"/>
      <c r="I35" s="780"/>
      <c r="J35" s="780"/>
      <c r="K35" s="780"/>
      <c r="L35" s="780"/>
      <c r="M35" s="781"/>
      <c r="N35" s="31"/>
      <c r="O35" s="31"/>
      <c r="P35" s="31"/>
      <c r="Q35" s="31"/>
      <c r="AD35" s="50">
        <v>677</v>
      </c>
      <c r="AE35" s="51">
        <v>90.269000000000005</v>
      </c>
      <c r="AF35" s="52">
        <f t="shared" si="0"/>
        <v>4.4461368627965514E-2</v>
      </c>
    </row>
    <row r="36" spans="4:43" ht="18.75">
      <c r="D36" s="805" t="s">
        <v>21</v>
      </c>
      <c r="E36" s="806"/>
      <c r="F36" s="596"/>
      <c r="G36" s="594"/>
      <c r="H36" s="595"/>
      <c r="I36" s="596"/>
      <c r="J36" s="595"/>
      <c r="K36" s="811"/>
      <c r="L36" s="764"/>
      <c r="M36" s="765"/>
      <c r="N36" s="31"/>
      <c r="O36" s="31"/>
      <c r="P36" s="31"/>
      <c r="Q36" s="31"/>
      <c r="AD36" s="50">
        <v>676.9</v>
      </c>
      <c r="AE36" s="51">
        <v>90.322000000000003</v>
      </c>
      <c r="AF36" s="52">
        <f t="shared" si="0"/>
        <v>4.4206454394125377E-2</v>
      </c>
    </row>
    <row r="37" spans="4:43" ht="18.75">
      <c r="D37" s="807" t="s">
        <v>55</v>
      </c>
      <c r="E37" s="808"/>
      <c r="F37" s="5" t="s">
        <v>49</v>
      </c>
      <c r="G37" s="23">
        <f>IF('Registro Original'!G37 = "", "", 'Registro Original'!G37)</f>
        <v>23.4</v>
      </c>
      <c r="H37" s="4" t="s">
        <v>23</v>
      </c>
      <c r="I37" s="5" t="s">
        <v>24</v>
      </c>
      <c r="J37" s="696" t="str">
        <f>IF('Registro Original'!J37 = "", "", 'Registro Original'!J37)</f>
        <v>---</v>
      </c>
      <c r="K37" s="2" t="s">
        <v>25</v>
      </c>
      <c r="L37" s="70">
        <f>IF('Registro Original'!L37 = "", "", 'Registro Original'!L37)</f>
        <v>74</v>
      </c>
      <c r="M37" s="450" t="s">
        <v>249</v>
      </c>
      <c r="N37" s="31"/>
      <c r="O37" s="31"/>
      <c r="P37" s="31"/>
      <c r="Q37" s="31"/>
      <c r="AD37" s="50">
        <v>676.8</v>
      </c>
      <c r="AE37" s="51">
        <v>90.248000000000005</v>
      </c>
      <c r="AF37" s="52">
        <f t="shared" si="0"/>
        <v>4.4562413783392561E-2</v>
      </c>
    </row>
    <row r="38" spans="4:43" ht="18.75">
      <c r="D38" s="809"/>
      <c r="E38" s="810"/>
      <c r="F38" s="5" t="s">
        <v>50</v>
      </c>
      <c r="G38" s="23">
        <f>IF('Registro Original'!G38 = "", "", 'Registro Original'!G38)</f>
        <v>23.7</v>
      </c>
      <c r="H38" s="4" t="s">
        <v>23</v>
      </c>
      <c r="I38" s="5" t="s">
        <v>24</v>
      </c>
      <c r="J38" s="696" t="str">
        <f>IF('Registro Original'!J38 = "", "", 'Registro Original'!J38)</f>
        <v>---</v>
      </c>
      <c r="K38" s="3" t="s">
        <v>25</v>
      </c>
      <c r="L38" s="70">
        <f>IF('Registro Original'!L38 = "", "", 'Registro Original'!L38)</f>
        <v>79</v>
      </c>
      <c r="M38" s="450" t="s">
        <v>249</v>
      </c>
      <c r="N38" s="31"/>
      <c r="O38" s="31"/>
      <c r="P38" s="31"/>
      <c r="Q38" s="31"/>
      <c r="AD38" s="50">
        <v>676.7</v>
      </c>
      <c r="AE38" s="51">
        <v>90.27</v>
      </c>
      <c r="AF38" s="52">
        <f t="shared" si="0"/>
        <v>4.4456557540257034E-2</v>
      </c>
    </row>
    <row r="39" spans="4:43" ht="18.75">
      <c r="D39" s="807" t="s">
        <v>52</v>
      </c>
      <c r="E39" s="808"/>
      <c r="F39" s="5" t="s">
        <v>51</v>
      </c>
      <c r="G39" s="23">
        <f>IF('Registro Original'!G39 = "", "", 'Registro Original'!G39)</f>
        <v>23.4</v>
      </c>
      <c r="H39" s="4" t="s">
        <v>23</v>
      </c>
      <c r="I39" s="5" t="s">
        <v>24</v>
      </c>
      <c r="J39" s="696" t="str">
        <f>IF('Registro Original'!J39 = "", "", 'Registro Original'!J39)</f>
        <v>---</v>
      </c>
      <c r="K39" s="3" t="s">
        <v>25</v>
      </c>
      <c r="L39" s="70">
        <f>IF('Registro Original'!L39 = "", "", 'Registro Original'!L39)</f>
        <v>74</v>
      </c>
      <c r="M39" s="450" t="s">
        <v>249</v>
      </c>
      <c r="N39" s="31"/>
      <c r="O39" s="31"/>
      <c r="P39" s="31"/>
      <c r="Q39" s="31"/>
      <c r="AD39" s="50">
        <v>676.6</v>
      </c>
      <c r="AE39" s="51">
        <v>90.308999999999997</v>
      </c>
      <c r="AF39" s="52">
        <f t="shared" si="0"/>
        <v>4.4268966679109609E-2</v>
      </c>
    </row>
    <row r="40" spans="4:43" ht="18.75">
      <c r="D40" s="809"/>
      <c r="E40" s="810"/>
      <c r="F40" s="5" t="s">
        <v>50</v>
      </c>
      <c r="G40" s="23">
        <f>IF('Registro Original'!G40 = "", "", 'Registro Original'!G40)</f>
        <v>23.7</v>
      </c>
      <c r="H40" s="4" t="s">
        <v>23</v>
      </c>
      <c r="I40" s="5" t="s">
        <v>24</v>
      </c>
      <c r="J40" s="696" t="str">
        <f>IF('Registro Original'!J40 = "", "", 'Registro Original'!J40)</f>
        <v>---</v>
      </c>
      <c r="K40" s="3" t="s">
        <v>25</v>
      </c>
      <c r="L40" s="70">
        <f>IF('Registro Original'!L40 = "", "", 'Registro Original'!L40)</f>
        <v>79</v>
      </c>
      <c r="M40" s="450" t="s">
        <v>249</v>
      </c>
      <c r="N40" s="31"/>
      <c r="O40" s="31"/>
      <c r="P40" s="31"/>
      <c r="Q40" s="31"/>
      <c r="AD40" s="50">
        <v>676.5</v>
      </c>
      <c r="AE40" s="51">
        <v>90.24</v>
      </c>
      <c r="AF40" s="52">
        <f t="shared" si="0"/>
        <v>4.4600913360732936E-2</v>
      </c>
    </row>
    <row r="41" spans="4:43" ht="18.75">
      <c r="D41" s="27"/>
      <c r="E41" s="27"/>
      <c r="F41" s="22"/>
      <c r="G41" s="22"/>
      <c r="H41" s="22"/>
      <c r="I41" s="22"/>
      <c r="J41" s="22"/>
      <c r="K41" s="22"/>
      <c r="L41" s="22"/>
      <c r="M41" s="22"/>
      <c r="N41" s="31"/>
      <c r="O41" s="31"/>
      <c r="P41" s="31"/>
      <c r="Q41" s="31"/>
      <c r="AD41" s="50">
        <v>676.4</v>
      </c>
      <c r="AE41" s="51">
        <v>90.206000000000003</v>
      </c>
      <c r="AF41" s="52">
        <f t="shared" si="0"/>
        <v>4.476457465064184E-2</v>
      </c>
    </row>
    <row r="42" spans="4:43" ht="18.75">
      <c r="D42" s="779" t="s">
        <v>66</v>
      </c>
      <c r="E42" s="780"/>
      <c r="F42" s="780"/>
      <c r="G42" s="780"/>
      <c r="H42" s="780"/>
      <c r="I42" s="780"/>
      <c r="J42" s="780"/>
      <c r="K42" s="780"/>
      <c r="L42" s="781"/>
      <c r="M42" s="31"/>
      <c r="N42" s="31"/>
      <c r="O42" s="31"/>
      <c r="P42" s="31"/>
      <c r="Q42" s="31"/>
      <c r="AD42" s="50">
        <v>676.3</v>
      </c>
      <c r="AE42" s="51">
        <v>90.165000000000006</v>
      </c>
      <c r="AF42" s="52">
        <f t="shared" si="0"/>
        <v>4.496201297570198E-2</v>
      </c>
    </row>
    <row r="43" spans="4:43">
      <c r="D43" s="830" t="s">
        <v>55</v>
      </c>
      <c r="E43" s="802"/>
      <c r="F43" s="25" t="s">
        <v>54</v>
      </c>
      <c r="G43" s="3"/>
      <c r="H43" s="23">
        <f>IF('Registro Original'!H43 = "", "", 'Registro Original'!H43)</f>
        <v>1</v>
      </c>
      <c r="I43" s="4" t="s">
        <v>53</v>
      </c>
      <c r="J43" s="25" t="s">
        <v>57</v>
      </c>
      <c r="K43" s="23" t="str">
        <f>IF('Registro Original'!K43 = "", "", 'Registro Original'!K43)</f>
        <v>manual</v>
      </c>
      <c r="L43" s="4" t="s">
        <v>56</v>
      </c>
      <c r="M43" s="22"/>
      <c r="N43" s="22"/>
      <c r="O43" s="22"/>
      <c r="P43" s="22"/>
      <c r="Q43" s="22"/>
      <c r="AD43" s="50">
        <v>676.2</v>
      </c>
      <c r="AE43" s="51">
        <v>90.156000000000006</v>
      </c>
      <c r="AF43" s="52">
        <f t="shared" si="0"/>
        <v>4.5005365112617553E-2</v>
      </c>
    </row>
    <row r="44" spans="4:43">
      <c r="D44" s="831" t="s">
        <v>52</v>
      </c>
      <c r="E44" s="831"/>
      <c r="F44" s="25" t="s">
        <v>54</v>
      </c>
      <c r="G44" s="3"/>
      <c r="H44" s="23">
        <f>IF('Registro Original'!H44 = "", "", 'Registro Original'!H44)</f>
        <v>1</v>
      </c>
      <c r="I44" s="4" t="s">
        <v>53</v>
      </c>
      <c r="J44" s="25" t="s">
        <v>57</v>
      </c>
      <c r="K44" s="23" t="str">
        <f>IF('Registro Original'!K44 = "", "", 'Registro Original'!K44)</f>
        <v>manual</v>
      </c>
      <c r="L44" s="4" t="s">
        <v>56</v>
      </c>
      <c r="M44" s="22"/>
      <c r="N44" s="22"/>
      <c r="O44" s="22"/>
      <c r="P44" s="22"/>
      <c r="Q44" s="22"/>
      <c r="AD44" s="50">
        <v>676.1</v>
      </c>
      <c r="AE44" s="51">
        <v>90.233999999999995</v>
      </c>
      <c r="AF44" s="52">
        <f t="shared" si="0"/>
        <v>4.462979028364019E-2</v>
      </c>
    </row>
    <row r="45" spans="4:43">
      <c r="D45" s="830" t="s">
        <v>55</v>
      </c>
      <c r="E45" s="802"/>
      <c r="F45" s="28" t="s">
        <v>336</v>
      </c>
      <c r="G45" s="721">
        <f>IF('Registro Original'!G45 = "", "", 'Registro Original'!G45)</f>
        <v>1</v>
      </c>
      <c r="H45" s="22" t="s">
        <v>53</v>
      </c>
      <c r="I45" s="22"/>
      <c r="J45" s="28" t="s">
        <v>58</v>
      </c>
      <c r="K45" s="721">
        <f>IF('Registro Original'!K45 = "", "", 'Registro Original'!K45)</f>
        <v>0.5</v>
      </c>
      <c r="L45" s="34" t="s">
        <v>53</v>
      </c>
      <c r="M45" s="22"/>
      <c r="N45" s="22"/>
      <c r="O45" s="22"/>
      <c r="P45" s="22"/>
      <c r="Q45" s="22"/>
      <c r="AD45" s="50">
        <v>676</v>
      </c>
      <c r="AE45" s="51">
        <v>90.242000000000004</v>
      </c>
      <c r="AF45" s="52">
        <f t="shared" si="0"/>
        <v>4.4591288146430756E-2</v>
      </c>
    </row>
    <row r="46" spans="4:43">
      <c r="D46" s="829" t="s">
        <v>52</v>
      </c>
      <c r="E46" s="804"/>
      <c r="F46" s="26" t="s">
        <v>58</v>
      </c>
      <c r="G46" s="697">
        <f>IF('Registro Original'!G46 = "", "", 'Registro Original'!G46)</f>
        <v>1E-3</v>
      </c>
      <c r="H46" s="2" t="s">
        <v>59</v>
      </c>
      <c r="I46" s="2"/>
      <c r="J46" s="26" t="s">
        <v>58</v>
      </c>
      <c r="K46" s="697">
        <f>IF('Registro Original'!K46 = "", "", 'Registro Original'!K46)</f>
        <v>0.1</v>
      </c>
      <c r="L46" s="15" t="s">
        <v>60</v>
      </c>
      <c r="M46" s="22"/>
      <c r="N46" s="22"/>
      <c r="O46" s="22"/>
      <c r="P46" s="22"/>
      <c r="Q46" s="22"/>
      <c r="AD46" s="50">
        <v>675.9</v>
      </c>
      <c r="AE46" s="51">
        <v>90.277000000000001</v>
      </c>
      <c r="AF46" s="52">
        <f t="shared" si="0"/>
        <v>4.4422881418528654E-2</v>
      </c>
      <c r="AQ46" t="str">
        <f>IF(ISBLANK(N389:N389),AVERAGE(N389:N389),"")</f>
        <v/>
      </c>
    </row>
    <row r="47" spans="4:43">
      <c r="D47" s="598"/>
      <c r="E47" s="598"/>
      <c r="F47" s="28"/>
      <c r="G47" s="22"/>
      <c r="H47" s="22"/>
      <c r="I47" s="22"/>
      <c r="J47" s="28"/>
      <c r="K47" s="22"/>
      <c r="L47" s="22"/>
      <c r="M47" s="22"/>
      <c r="N47" s="22"/>
      <c r="O47" s="22"/>
      <c r="P47" s="22"/>
      <c r="Q47" s="22"/>
      <c r="AD47" s="50">
        <v>675.8</v>
      </c>
      <c r="AE47" s="51">
        <v>90.233999999999995</v>
      </c>
      <c r="AF47" s="52">
        <f t="shared" si="0"/>
        <v>4.462979028364019E-2</v>
      </c>
      <c r="AI47" s="29"/>
    </row>
    <row r="48" spans="4:43">
      <c r="D48" s="796" t="s">
        <v>72</v>
      </c>
      <c r="E48" s="796"/>
      <c r="F48" s="796"/>
      <c r="G48" s="796"/>
      <c r="H48" s="796"/>
      <c r="I48" s="796"/>
      <c r="J48" s="796"/>
      <c r="K48" s="796"/>
      <c r="L48" s="796"/>
      <c r="M48" s="597"/>
      <c r="N48" s="597"/>
      <c r="O48" s="597"/>
      <c r="P48" s="597"/>
      <c r="Q48" s="597"/>
      <c r="AD48" s="50">
        <v>675.7</v>
      </c>
      <c r="AE48" s="51">
        <v>90.230999999999995</v>
      </c>
      <c r="AF48" s="52">
        <f t="shared" si="0"/>
        <v>4.4644229465152716E-2</v>
      </c>
    </row>
    <row r="49" spans="1:109">
      <c r="AD49" s="50">
        <v>675.6</v>
      </c>
      <c r="AE49" s="51">
        <v>90.156000000000006</v>
      </c>
      <c r="AF49" s="52">
        <f t="shared" si="0"/>
        <v>4.5005365112617553E-2</v>
      </c>
    </row>
    <row r="50" spans="1:109" ht="15.75" customHeight="1">
      <c r="A50" s="793" t="s">
        <v>70</v>
      </c>
      <c r="B50" s="794"/>
      <c r="C50" s="794"/>
      <c r="D50" s="794"/>
      <c r="E50" s="794"/>
      <c r="F50" s="794"/>
      <c r="G50" s="794"/>
      <c r="H50" s="794"/>
      <c r="I50" s="794"/>
      <c r="J50" s="794"/>
      <c r="K50" s="794"/>
      <c r="L50" s="794"/>
      <c r="M50" s="794"/>
      <c r="N50" s="794"/>
      <c r="O50" s="794"/>
      <c r="P50" s="794"/>
      <c r="Q50" s="794"/>
      <c r="R50" s="794"/>
      <c r="S50" s="795"/>
      <c r="AD50" s="50">
        <v>675.5</v>
      </c>
      <c r="AE50" s="51">
        <v>90.176000000000002</v>
      </c>
      <c r="AF50" s="52">
        <f t="shared" si="0"/>
        <v>4.4909032906756401E-2</v>
      </c>
      <c r="AO50" s="30"/>
    </row>
    <row r="51" spans="1:109" ht="15" customHeight="1" thickBot="1">
      <c r="A51" s="67" t="s">
        <v>81</v>
      </c>
      <c r="B51" s="68" t="s">
        <v>82</v>
      </c>
      <c r="C51" s="69" t="s">
        <v>59</v>
      </c>
      <c r="D51" s="585" t="s">
        <v>271</v>
      </c>
      <c r="E51" s="68" t="s">
        <v>82</v>
      </c>
      <c r="F51" s="69" t="s">
        <v>59</v>
      </c>
      <c r="G51" s="564" t="s">
        <v>271</v>
      </c>
      <c r="H51" s="35"/>
      <c r="I51" s="35"/>
      <c r="J51" s="35"/>
      <c r="K51" s="35"/>
      <c r="L51" s="35"/>
      <c r="M51" s="35"/>
      <c r="AD51" s="50">
        <v>675.4</v>
      </c>
      <c r="AE51" s="51">
        <v>90.162999999999997</v>
      </c>
      <c r="AF51" s="52">
        <f t="shared" si="0"/>
        <v>4.4971646409931253E-2</v>
      </c>
    </row>
    <row r="52" spans="1:109" ht="15" customHeight="1" thickTop="1">
      <c r="A52" s="562"/>
      <c r="B52" s="42">
        <f t="shared" ref="B52:B62" si="1">IF(ISNUMBER($G$45),B53+$G$45,"")</f>
        <v>649</v>
      </c>
      <c r="C52" s="722" t="str">
        <f>IF('Registro Original'!C52 = "", "", 'Registro Original'!C52)</f>
        <v/>
      </c>
      <c r="D52" s="565" t="str">
        <f t="shared" ref="D52:D63" si="2">IF(C52&lt;&gt;"",IF(C52 = LARGE($C$52:$C$76,1), C52, ""), "")</f>
        <v/>
      </c>
      <c r="E52" s="42">
        <f t="shared" ref="E52:E62" si="3">IF(ISNUMBER($G$45),E53+$K$45,"")</f>
        <v>643</v>
      </c>
      <c r="F52" s="569" t="str">
        <f>IF('Registro Original'!F52 = "", "", 'Registro Original'!F52)</f>
        <v/>
      </c>
      <c r="G52" s="36" t="str">
        <f t="shared" ref="G52:G63" si="4">IF(F52 &lt;&gt;"", IF(F52 = LARGE($F$52:$F$76,1), F52, ""), "")</f>
        <v/>
      </c>
      <c r="H52" s="35"/>
      <c r="I52" s="35"/>
      <c r="J52" s="35"/>
      <c r="K52" s="35"/>
      <c r="L52" s="35"/>
      <c r="M52" s="35"/>
      <c r="U52" s="103" t="s">
        <v>88</v>
      </c>
      <c r="V52" s="104" t="s">
        <v>89</v>
      </c>
      <c r="W52" s="105" t="s">
        <v>90</v>
      </c>
      <c r="X52" s="104" t="s">
        <v>91</v>
      </c>
      <c r="Y52" s="106" t="s">
        <v>96</v>
      </c>
      <c r="Z52" s="626" t="s">
        <v>378</v>
      </c>
      <c r="AA52" s="627" t="s">
        <v>379</v>
      </c>
      <c r="AB52" s="627" t="s">
        <v>380</v>
      </c>
      <c r="AC52" s="632" t="s">
        <v>381</v>
      </c>
      <c r="AD52" s="50">
        <v>675.3</v>
      </c>
      <c r="AE52" s="51">
        <v>90.225999999999999</v>
      </c>
      <c r="AF52" s="52">
        <f t="shared" si="0"/>
        <v>4.4668295834537908E-2</v>
      </c>
    </row>
    <row r="53" spans="1:109" ht="15" customHeight="1" thickBot="1">
      <c r="A53" s="563"/>
      <c r="B53" s="42">
        <f t="shared" si="1"/>
        <v>648</v>
      </c>
      <c r="C53" s="569" t="str">
        <f>IF('Registro Original'!C53 = "", "", 'Registro Original'!C53)</f>
        <v/>
      </c>
      <c r="D53" s="565" t="str">
        <f t="shared" si="2"/>
        <v/>
      </c>
      <c r="E53" s="42">
        <f t="shared" si="3"/>
        <v>642.5</v>
      </c>
      <c r="F53" s="569" t="str">
        <f>IF('Registro Original'!F53 = "", "", 'Registro Original'!F53)</f>
        <v/>
      </c>
      <c r="G53" s="36" t="str">
        <f t="shared" si="4"/>
        <v/>
      </c>
      <c r="H53" s="35"/>
      <c r="I53" s="35"/>
      <c r="J53" s="35"/>
      <c r="K53" s="35"/>
      <c r="L53" s="35"/>
      <c r="M53" s="35"/>
      <c r="U53" s="644">
        <v>643.5</v>
      </c>
      <c r="V53" s="643">
        <v>0.13969999999999999</v>
      </c>
      <c r="W53" s="645">
        <v>637.6</v>
      </c>
      <c r="X53" s="643">
        <v>0.2064</v>
      </c>
      <c r="Y53" s="646">
        <f>(V53 + X53)/2</f>
        <v>0.17304999999999998</v>
      </c>
      <c r="Z53" s="630">
        <f>AC53 - AB53</f>
        <v>5.7999999999999545</v>
      </c>
      <c r="AA53" s="628">
        <f>X53 - Y53</f>
        <v>3.3350000000000019E-2</v>
      </c>
      <c r="AB53" s="629">
        <v>634.70000000000005</v>
      </c>
      <c r="AC53" s="631">
        <v>640.5</v>
      </c>
      <c r="AD53" s="50">
        <v>675.2</v>
      </c>
      <c r="AE53" s="51">
        <v>90.183000000000007</v>
      </c>
      <c r="AF53" s="52">
        <f t="shared" si="0"/>
        <v>4.4875321682200375E-2</v>
      </c>
    </row>
    <row r="54" spans="1:109" ht="15" customHeight="1" thickBot="1">
      <c r="A54" s="563"/>
      <c r="B54" s="42">
        <f t="shared" si="1"/>
        <v>647</v>
      </c>
      <c r="C54" s="569" t="str">
        <f>IF('Registro Original'!C54 = "", "", 'Registro Original'!C54)</f>
        <v/>
      </c>
      <c r="D54" s="565" t="str">
        <f t="shared" si="2"/>
        <v/>
      </c>
      <c r="E54" s="42">
        <f t="shared" si="3"/>
        <v>642</v>
      </c>
      <c r="F54" s="569" t="str">
        <f>IF('Registro Original'!F54 = "", "", 'Registro Original'!F54)</f>
        <v/>
      </c>
      <c r="G54" s="36" t="str">
        <f t="shared" si="4"/>
        <v/>
      </c>
      <c r="H54" s="35"/>
      <c r="I54" s="35"/>
      <c r="J54" s="35"/>
      <c r="K54" s="35"/>
      <c r="L54" s="35"/>
      <c r="M54" s="35"/>
      <c r="AD54" s="50">
        <v>675.1</v>
      </c>
      <c r="AE54" s="51">
        <v>90.171000000000006</v>
      </c>
      <c r="AF54" s="52">
        <f t="shared" si="0"/>
        <v>4.4933113955069624E-2</v>
      </c>
      <c r="AG54" s="746" t="s">
        <v>95</v>
      </c>
      <c r="AH54" s="473">
        <v>631.5</v>
      </c>
      <c r="AI54" s="473">
        <f t="shared" ref="AI54:CP54" si="5">AH54+0.2</f>
        <v>631.70000000000005</v>
      </c>
      <c r="AJ54" s="473">
        <f t="shared" si="5"/>
        <v>631.90000000000009</v>
      </c>
      <c r="AK54" s="473">
        <f t="shared" si="5"/>
        <v>632.10000000000014</v>
      </c>
      <c r="AL54" s="473">
        <f t="shared" si="5"/>
        <v>632.30000000000018</v>
      </c>
      <c r="AM54" s="473">
        <f t="shared" si="5"/>
        <v>632.50000000000023</v>
      </c>
      <c r="AN54" s="473">
        <f t="shared" si="5"/>
        <v>632.70000000000027</v>
      </c>
      <c r="AO54" s="473">
        <f t="shared" si="5"/>
        <v>632.90000000000032</v>
      </c>
      <c r="AP54" s="473">
        <f t="shared" si="5"/>
        <v>633.10000000000036</v>
      </c>
      <c r="AQ54" s="473">
        <f t="shared" si="5"/>
        <v>633.30000000000041</v>
      </c>
      <c r="AR54" s="473">
        <f t="shared" si="5"/>
        <v>633.50000000000045</v>
      </c>
      <c r="AS54" s="473">
        <f t="shared" si="5"/>
        <v>633.7000000000005</v>
      </c>
      <c r="AT54" s="473">
        <f t="shared" si="5"/>
        <v>633.90000000000055</v>
      </c>
      <c r="AU54" s="473">
        <f t="shared" si="5"/>
        <v>634.10000000000059</v>
      </c>
      <c r="AV54" s="473">
        <f t="shared" si="5"/>
        <v>634.30000000000064</v>
      </c>
      <c r="AW54" s="473">
        <f t="shared" si="5"/>
        <v>634.50000000000068</v>
      </c>
      <c r="AX54" s="473">
        <f t="shared" si="5"/>
        <v>634.70000000000073</v>
      </c>
      <c r="AY54" s="473">
        <f t="shared" si="5"/>
        <v>634.90000000000077</v>
      </c>
      <c r="AZ54" s="473">
        <f t="shared" si="5"/>
        <v>635.10000000000082</v>
      </c>
      <c r="BA54" s="473">
        <f t="shared" si="5"/>
        <v>635.30000000000086</v>
      </c>
      <c r="BB54" s="473">
        <f t="shared" si="5"/>
        <v>635.50000000000091</v>
      </c>
      <c r="BC54" s="473">
        <f t="shared" si="5"/>
        <v>635.70000000000095</v>
      </c>
      <c r="BD54" s="473">
        <f t="shared" si="5"/>
        <v>635.900000000001</v>
      </c>
      <c r="BE54" s="473">
        <f t="shared" si="5"/>
        <v>636.10000000000105</v>
      </c>
      <c r="BF54" s="473">
        <f t="shared" si="5"/>
        <v>636.30000000000109</v>
      </c>
      <c r="BG54" s="473">
        <f t="shared" si="5"/>
        <v>636.50000000000114</v>
      </c>
      <c r="BH54" s="473">
        <f t="shared" si="5"/>
        <v>636.70000000000118</v>
      </c>
      <c r="BI54" s="473">
        <f t="shared" si="5"/>
        <v>636.90000000000123</v>
      </c>
      <c r="BJ54" s="473">
        <f t="shared" si="5"/>
        <v>637.10000000000127</v>
      </c>
      <c r="BK54" s="473">
        <f t="shared" si="5"/>
        <v>637.30000000000132</v>
      </c>
      <c r="BL54" s="473">
        <f t="shared" si="5"/>
        <v>637.50000000000136</v>
      </c>
      <c r="BM54" s="473">
        <f t="shared" si="5"/>
        <v>637.70000000000141</v>
      </c>
      <c r="BN54" s="473">
        <f t="shared" si="5"/>
        <v>637.90000000000146</v>
      </c>
      <c r="BO54" s="473">
        <f t="shared" si="5"/>
        <v>638.1000000000015</v>
      </c>
      <c r="BP54" s="473">
        <f t="shared" si="5"/>
        <v>638.30000000000155</v>
      </c>
      <c r="BQ54" s="473">
        <f t="shared" si="5"/>
        <v>638.50000000000159</v>
      </c>
      <c r="BR54" s="473">
        <f t="shared" si="5"/>
        <v>638.70000000000164</v>
      </c>
      <c r="BS54" s="473">
        <f t="shared" si="5"/>
        <v>638.90000000000168</v>
      </c>
      <c r="BT54" s="473">
        <f t="shared" si="5"/>
        <v>639.10000000000173</v>
      </c>
      <c r="BU54" s="473">
        <f t="shared" si="5"/>
        <v>639.30000000000177</v>
      </c>
      <c r="BV54" s="473">
        <f t="shared" si="5"/>
        <v>639.50000000000182</v>
      </c>
      <c r="BW54" s="473">
        <f t="shared" si="5"/>
        <v>639.70000000000186</v>
      </c>
      <c r="BX54" s="473">
        <f t="shared" si="5"/>
        <v>639.90000000000191</v>
      </c>
      <c r="BY54" s="473">
        <f t="shared" si="5"/>
        <v>640.10000000000196</v>
      </c>
      <c r="BZ54" s="473">
        <f t="shared" si="5"/>
        <v>640.300000000002</v>
      </c>
      <c r="CA54" s="473">
        <f t="shared" si="5"/>
        <v>640.50000000000205</v>
      </c>
      <c r="CB54" s="473">
        <f t="shared" si="5"/>
        <v>640.70000000000209</v>
      </c>
      <c r="CC54" s="473">
        <f t="shared" si="5"/>
        <v>640.90000000000214</v>
      </c>
      <c r="CD54" s="473">
        <f t="shared" si="5"/>
        <v>641.10000000000218</v>
      </c>
      <c r="CE54" s="473">
        <f t="shared" si="5"/>
        <v>641.30000000000223</v>
      </c>
      <c r="CF54" s="473">
        <f t="shared" si="5"/>
        <v>641.50000000000227</v>
      </c>
      <c r="CG54" s="473">
        <f t="shared" si="5"/>
        <v>641.70000000000232</v>
      </c>
      <c r="CH54" s="473">
        <f t="shared" si="5"/>
        <v>641.90000000000236</v>
      </c>
      <c r="CI54" s="473">
        <f t="shared" si="5"/>
        <v>642.10000000000241</v>
      </c>
      <c r="CJ54" s="473">
        <f t="shared" si="5"/>
        <v>642.30000000000246</v>
      </c>
      <c r="CK54" s="473">
        <f t="shared" si="5"/>
        <v>642.5000000000025</v>
      </c>
      <c r="CL54" s="473">
        <f t="shared" si="5"/>
        <v>642.70000000000255</v>
      </c>
      <c r="CM54" s="473">
        <f t="shared" si="5"/>
        <v>642.90000000000259</v>
      </c>
      <c r="CN54" s="473">
        <f t="shared" si="5"/>
        <v>643.10000000000264</v>
      </c>
      <c r="CO54" s="473">
        <f t="shared" si="5"/>
        <v>643.30000000000268</v>
      </c>
      <c r="CP54" s="473">
        <f t="shared" si="5"/>
        <v>643.50000000000273</v>
      </c>
      <c r="CQ54" s="473"/>
      <c r="CR54" s="473"/>
      <c r="CS54" s="473"/>
      <c r="CT54" s="473"/>
      <c r="CU54" s="473"/>
      <c r="CV54" s="473"/>
      <c r="CW54" s="473"/>
      <c r="CX54" s="473"/>
      <c r="CY54" s="473"/>
      <c r="CZ54" s="473"/>
      <c r="DA54" s="473"/>
      <c r="DB54" s="473"/>
      <c r="DC54" s="473"/>
      <c r="DD54" s="473"/>
      <c r="DE54" s="473"/>
    </row>
    <row r="55" spans="1:109" ht="15" customHeight="1" thickBot="1">
      <c r="A55" s="563"/>
      <c r="B55" s="42">
        <f t="shared" si="1"/>
        <v>646</v>
      </c>
      <c r="C55" s="569" t="str">
        <f>IF('Registro Original'!C55 = "", "", 'Registro Original'!C55)</f>
        <v/>
      </c>
      <c r="D55" s="565" t="str">
        <f t="shared" si="2"/>
        <v/>
      </c>
      <c r="E55" s="42">
        <f t="shared" si="3"/>
        <v>641.5</v>
      </c>
      <c r="F55" s="569" t="str">
        <f>IF('Registro Original'!F55 = "", "", 'Registro Original'!F55)</f>
        <v/>
      </c>
      <c r="G55" s="36" t="str">
        <f t="shared" si="4"/>
        <v/>
      </c>
      <c r="H55" s="35"/>
      <c r="I55" s="35"/>
      <c r="J55" s="35"/>
      <c r="K55" s="35"/>
      <c r="L55" s="35"/>
      <c r="M55" s="35"/>
      <c r="U55" s="822" t="s">
        <v>374</v>
      </c>
      <c r="V55" s="823"/>
      <c r="W55" s="823"/>
      <c r="X55" s="823"/>
      <c r="Y55" s="823"/>
      <c r="Z55" s="823"/>
      <c r="AA55" s="824"/>
      <c r="AC55" s="734" t="s">
        <v>337</v>
      </c>
      <c r="AD55" s="50">
        <v>675</v>
      </c>
      <c r="AE55" s="51">
        <v>90.114999999999995</v>
      </c>
      <c r="AF55" s="52">
        <f t="shared" si="0"/>
        <v>4.5202912960746834E-2</v>
      </c>
      <c r="AG55" s="746"/>
      <c r="AH55" s="52">
        <f>$Y53</f>
        <v>0.17304999999999998</v>
      </c>
      <c r="AI55" s="473">
        <f>AH55</f>
        <v>0.17304999999999998</v>
      </c>
      <c r="AJ55" s="473">
        <f>AI55</f>
        <v>0.17304999999999998</v>
      </c>
      <c r="AK55" s="473">
        <f t="shared" ref="AK55:CP55" si="6">AJ55</f>
        <v>0.17304999999999998</v>
      </c>
      <c r="AL55" s="473">
        <f t="shared" si="6"/>
        <v>0.17304999999999998</v>
      </c>
      <c r="AM55" s="473">
        <f t="shared" si="6"/>
        <v>0.17304999999999998</v>
      </c>
      <c r="AN55" s="473">
        <f t="shared" si="6"/>
        <v>0.17304999999999998</v>
      </c>
      <c r="AO55" s="473">
        <f t="shared" si="6"/>
        <v>0.17304999999999998</v>
      </c>
      <c r="AP55" s="473">
        <f t="shared" si="6"/>
        <v>0.17304999999999998</v>
      </c>
      <c r="AQ55" s="473">
        <f t="shared" si="6"/>
        <v>0.17304999999999998</v>
      </c>
      <c r="AR55" s="473">
        <f t="shared" si="6"/>
        <v>0.17304999999999998</v>
      </c>
      <c r="AS55" s="473">
        <f t="shared" si="6"/>
        <v>0.17304999999999998</v>
      </c>
      <c r="AT55" s="473">
        <f t="shared" si="6"/>
        <v>0.17304999999999998</v>
      </c>
      <c r="AU55" s="473">
        <f t="shared" si="6"/>
        <v>0.17304999999999998</v>
      </c>
      <c r="AV55" s="473">
        <f t="shared" si="6"/>
        <v>0.17304999999999998</v>
      </c>
      <c r="AW55" s="473">
        <f t="shared" si="6"/>
        <v>0.17304999999999998</v>
      </c>
      <c r="AX55" s="473">
        <f t="shared" si="6"/>
        <v>0.17304999999999998</v>
      </c>
      <c r="AY55" s="473">
        <f t="shared" si="6"/>
        <v>0.17304999999999998</v>
      </c>
      <c r="AZ55" s="473">
        <f t="shared" si="6"/>
        <v>0.17304999999999998</v>
      </c>
      <c r="BA55" s="473">
        <f t="shared" si="6"/>
        <v>0.17304999999999998</v>
      </c>
      <c r="BB55" s="473">
        <f t="shared" si="6"/>
        <v>0.17304999999999998</v>
      </c>
      <c r="BC55" s="473">
        <f t="shared" si="6"/>
        <v>0.17304999999999998</v>
      </c>
      <c r="BD55" s="473">
        <f t="shared" si="6"/>
        <v>0.17304999999999998</v>
      </c>
      <c r="BE55" s="473">
        <f t="shared" si="6"/>
        <v>0.17304999999999998</v>
      </c>
      <c r="BF55" s="473">
        <f t="shared" si="6"/>
        <v>0.17304999999999998</v>
      </c>
      <c r="BG55" s="473">
        <f t="shared" si="6"/>
        <v>0.17304999999999998</v>
      </c>
      <c r="BH55" s="473">
        <f t="shared" si="6"/>
        <v>0.17304999999999998</v>
      </c>
      <c r="BI55" s="473">
        <f t="shared" si="6"/>
        <v>0.17304999999999998</v>
      </c>
      <c r="BJ55" s="473">
        <f t="shared" si="6"/>
        <v>0.17304999999999998</v>
      </c>
      <c r="BK55" s="473">
        <f t="shared" si="6"/>
        <v>0.17304999999999998</v>
      </c>
      <c r="BL55" s="473">
        <f t="shared" si="6"/>
        <v>0.17304999999999998</v>
      </c>
      <c r="BM55" s="473">
        <f t="shared" si="6"/>
        <v>0.17304999999999998</v>
      </c>
      <c r="BN55" s="473">
        <f t="shared" si="6"/>
        <v>0.17304999999999998</v>
      </c>
      <c r="BO55" s="473">
        <f t="shared" si="6"/>
        <v>0.17304999999999998</v>
      </c>
      <c r="BP55" s="473">
        <f t="shared" si="6"/>
        <v>0.17304999999999998</v>
      </c>
      <c r="BQ55" s="473">
        <f t="shared" si="6"/>
        <v>0.17304999999999998</v>
      </c>
      <c r="BR55" s="473">
        <f t="shared" si="6"/>
        <v>0.17304999999999998</v>
      </c>
      <c r="BS55" s="473">
        <f t="shared" si="6"/>
        <v>0.17304999999999998</v>
      </c>
      <c r="BT55" s="473">
        <f t="shared" si="6"/>
        <v>0.17304999999999998</v>
      </c>
      <c r="BU55" s="473">
        <f t="shared" si="6"/>
        <v>0.17304999999999998</v>
      </c>
      <c r="BV55" s="473">
        <f t="shared" si="6"/>
        <v>0.17304999999999998</v>
      </c>
      <c r="BW55" s="473">
        <f t="shared" si="6"/>
        <v>0.17304999999999998</v>
      </c>
      <c r="BX55" s="473">
        <f t="shared" si="6"/>
        <v>0.17304999999999998</v>
      </c>
      <c r="BY55" s="473">
        <f t="shared" si="6"/>
        <v>0.17304999999999998</v>
      </c>
      <c r="BZ55" s="473">
        <f t="shared" si="6"/>
        <v>0.17304999999999998</v>
      </c>
      <c r="CA55" s="473">
        <f t="shared" si="6"/>
        <v>0.17304999999999998</v>
      </c>
      <c r="CB55" s="473">
        <f t="shared" si="6"/>
        <v>0.17304999999999998</v>
      </c>
      <c r="CC55" s="473">
        <f t="shared" si="6"/>
        <v>0.17304999999999998</v>
      </c>
      <c r="CD55" s="473">
        <f t="shared" si="6"/>
        <v>0.17304999999999998</v>
      </c>
      <c r="CE55" s="473">
        <f t="shared" si="6"/>
        <v>0.17304999999999998</v>
      </c>
      <c r="CF55" s="473">
        <f t="shared" si="6"/>
        <v>0.17304999999999998</v>
      </c>
      <c r="CG55" s="473">
        <f t="shared" si="6"/>
        <v>0.17304999999999998</v>
      </c>
      <c r="CH55" s="473">
        <f t="shared" si="6"/>
        <v>0.17304999999999998</v>
      </c>
      <c r="CI55" s="473">
        <f t="shared" si="6"/>
        <v>0.17304999999999998</v>
      </c>
      <c r="CJ55" s="473">
        <f t="shared" si="6"/>
        <v>0.17304999999999998</v>
      </c>
      <c r="CK55" s="473">
        <f t="shared" si="6"/>
        <v>0.17304999999999998</v>
      </c>
      <c r="CL55" s="473">
        <f t="shared" si="6"/>
        <v>0.17304999999999998</v>
      </c>
      <c r="CM55" s="473">
        <f t="shared" si="6"/>
        <v>0.17304999999999998</v>
      </c>
      <c r="CN55" s="473">
        <f t="shared" si="6"/>
        <v>0.17304999999999998</v>
      </c>
      <c r="CO55" s="473">
        <f t="shared" si="6"/>
        <v>0.17304999999999998</v>
      </c>
      <c r="CP55" s="473">
        <f t="shared" si="6"/>
        <v>0.17304999999999998</v>
      </c>
    </row>
    <row r="56" spans="1:109" ht="15" customHeight="1">
      <c r="A56" s="563"/>
      <c r="B56" s="42">
        <f t="shared" si="1"/>
        <v>645</v>
      </c>
      <c r="C56" s="569" t="str">
        <f>IF('Registro Original'!C56 = "", "", 'Registro Original'!C56)</f>
        <v/>
      </c>
      <c r="D56" s="565" t="str">
        <f t="shared" si="2"/>
        <v/>
      </c>
      <c r="E56" s="42">
        <f t="shared" si="3"/>
        <v>641</v>
      </c>
      <c r="F56" s="569" t="str">
        <f>IF('Registro Original'!F56 = "", "", 'Registro Original'!F56)</f>
        <v/>
      </c>
      <c r="G56" s="36" t="str">
        <f t="shared" si="4"/>
        <v/>
      </c>
      <c r="H56" s="35"/>
      <c r="I56" s="35"/>
      <c r="J56" s="35"/>
      <c r="K56" s="35"/>
      <c r="L56" s="35"/>
      <c r="M56" s="35"/>
      <c r="U56" s="602" t="s">
        <v>359</v>
      </c>
      <c r="V56" s="88" t="s">
        <v>360</v>
      </c>
      <c r="W56" s="88" t="s">
        <v>361</v>
      </c>
      <c r="X56" s="88" t="s">
        <v>362</v>
      </c>
      <c r="Y56" s="88" t="s">
        <v>363</v>
      </c>
      <c r="Z56" s="88" t="s">
        <v>364</v>
      </c>
      <c r="AA56" s="603" t="s">
        <v>365</v>
      </c>
      <c r="AB56" s="735" t="s">
        <v>458</v>
      </c>
      <c r="AC56" s="736">
        <f>IF(U57="","",IF(AA57&lt;&gt;0, 6,5))</f>
        <v>6</v>
      </c>
      <c r="AD56" s="50">
        <v>674.9</v>
      </c>
      <c r="AE56" s="51">
        <v>90.072999999999993</v>
      </c>
      <c r="AF56" s="52">
        <f t="shared" si="0"/>
        <v>4.540537226514306E-2</v>
      </c>
    </row>
    <row r="57" spans="1:109" ht="15" customHeight="1">
      <c r="A57" s="563"/>
      <c r="B57" s="42">
        <f t="shared" si="1"/>
        <v>644</v>
      </c>
      <c r="C57" s="569">
        <f>IF('Registro Original'!C57 = "", "", 'Registro Original'!C57)</f>
        <v>0.126</v>
      </c>
      <c r="D57" s="565" t="str">
        <f t="shared" si="2"/>
        <v/>
      </c>
      <c r="E57" s="42">
        <f t="shared" si="3"/>
        <v>640.5</v>
      </c>
      <c r="F57" s="569">
        <f>IF('Registro Original'!F57 = "", "", 'Registro Original'!F57)</f>
        <v>0.126</v>
      </c>
      <c r="G57" s="36" t="str">
        <f t="shared" si="4"/>
        <v/>
      </c>
      <c r="H57" s="35"/>
      <c r="I57" s="35"/>
      <c r="J57" s="35"/>
      <c r="K57" s="35"/>
      <c r="L57" s="35"/>
      <c r="M57" s="35"/>
      <c r="T57" s="600"/>
      <c r="U57" s="633">
        <v>1406304386518.1001</v>
      </c>
      <c r="V57" s="612">
        <v>-13223481249.6752</v>
      </c>
      <c r="W57" s="612">
        <v>51808407.205309197</v>
      </c>
      <c r="X57" s="612">
        <v>-108256.158451421</v>
      </c>
      <c r="Y57" s="612">
        <v>127.24089536003601</v>
      </c>
      <c r="Z57" s="612">
        <v>-7.9762499703356596E-2</v>
      </c>
      <c r="AA57" s="634">
        <v>2.08333332558652E-5</v>
      </c>
      <c r="AB57" s="737" t="s">
        <v>459</v>
      </c>
      <c r="AC57" s="732">
        <f>IF(AC56="", "",AC56 +1)</f>
        <v>7</v>
      </c>
      <c r="AD57" s="50">
        <v>674.8</v>
      </c>
      <c r="AE57" s="51">
        <v>90.122</v>
      </c>
      <c r="AF57" s="52">
        <f t="shared" si="0"/>
        <v>4.5169178917516456E-2</v>
      </c>
    </row>
    <row r="58" spans="1:109" ht="15" customHeight="1">
      <c r="A58" s="590" t="s">
        <v>352</v>
      </c>
      <c r="B58" s="42">
        <f t="shared" si="1"/>
        <v>643</v>
      </c>
      <c r="C58" s="569">
        <f>IF('Registro Original'!C58 = "", "", 'Registro Original'!C58)</f>
        <v>0.129</v>
      </c>
      <c r="D58" s="565" t="str">
        <f t="shared" si="2"/>
        <v/>
      </c>
      <c r="E58" s="42">
        <f t="shared" si="3"/>
        <v>640</v>
      </c>
      <c r="F58" s="569">
        <f>IF('Registro Original'!F58 = "", "", 'Registro Original'!F58)</f>
        <v>0.13100000000000001</v>
      </c>
      <c r="G58" s="36" t="str">
        <f t="shared" si="4"/>
        <v/>
      </c>
      <c r="H58" s="35"/>
      <c r="I58" s="35"/>
      <c r="J58" s="35"/>
      <c r="K58" s="35"/>
      <c r="L58" s="35"/>
      <c r="M58" s="35"/>
      <c r="U58" s="606" t="s">
        <v>373</v>
      </c>
      <c r="V58" s="607" t="s">
        <v>369</v>
      </c>
      <c r="W58" s="601" t="s">
        <v>375</v>
      </c>
      <c r="X58" s="601" t="s">
        <v>367</v>
      </c>
      <c r="Y58" s="601" t="s">
        <v>368</v>
      </c>
      <c r="Z58" s="635" t="s">
        <v>370</v>
      </c>
      <c r="AA58" s="636" t="s">
        <v>369</v>
      </c>
      <c r="AB58" s="737" t="s">
        <v>460</v>
      </c>
      <c r="AC58" s="605">
        <v>0.99999983297809603</v>
      </c>
      <c r="AD58" s="50">
        <v>674.7</v>
      </c>
      <c r="AE58" s="51">
        <v>90.198999999999998</v>
      </c>
      <c r="AF58" s="52">
        <f t="shared" si="0"/>
        <v>4.4798277279447629E-2</v>
      </c>
    </row>
    <row r="59" spans="1:109" ht="15" customHeight="1">
      <c r="A59" s="46"/>
      <c r="B59" s="42">
        <f t="shared" si="1"/>
        <v>642</v>
      </c>
      <c r="C59" s="569">
        <f>IF('Registro Original'!C59 = "", "", 'Registro Original'!C59)</f>
        <v>0.13400000000000001</v>
      </c>
      <c r="D59" s="565" t="str">
        <f t="shared" si="2"/>
        <v/>
      </c>
      <c r="E59" s="42">
        <f t="shared" si="3"/>
        <v>639.5</v>
      </c>
      <c r="F59" s="569">
        <f>IF('Registro Original'!F59 = "", "", 'Registro Original'!F59)</f>
        <v>0.13600000000000001</v>
      </c>
      <c r="G59" s="36" t="str">
        <f t="shared" si="4"/>
        <v/>
      </c>
      <c r="H59" s="35"/>
      <c r="I59" s="35"/>
      <c r="J59" s="35"/>
      <c r="K59" s="35"/>
      <c r="L59" s="35"/>
      <c r="M59" s="36"/>
      <c r="U59" s="608">
        <v>1</v>
      </c>
      <c r="V59" s="624">
        <f>638.1</f>
        <v>638.1</v>
      </c>
      <c r="W59" s="604">
        <f t="shared" ref="W59:W65" si="7" xml:space="preserve"> $U$57 + $V$57*(V59) + $W$57*(V59^2) + $X$57*(V59^3) + $Y$57*(V59^4) + $Z$57*(V59^5) + $AA$57*(V59^6)</f>
        <v>0.140625</v>
      </c>
      <c r="X59" s="604">
        <f t="shared" ref="X59:X65" si="8" xml:space="preserve"> $V$57 + 2*$W$57*(V59) + 3*$X$57*(V59^2) + 4*$Y$57*(V59^3) + 5*$Z$57*(V59^4) + 6*$AA$57*(V59^5)</f>
        <v>1.1463165283203125E-3</v>
      </c>
      <c r="Y59" s="609">
        <f t="shared" ref="Y59:Y65" si="9" xml:space="preserve"> (2*$W$57 + 6*$X$57*(V59) + 12*$Y$57*(V59^2) + 20*$Z$57*(V59^3) + 30*$AA$57*(V59^4))</f>
        <v>-2.5234967470169067E-3</v>
      </c>
      <c r="Z59" s="605">
        <f t="shared" ref="Z59:Z65" si="10">V59 - (X59/Y59)</f>
        <v>638.55425718486674</v>
      </c>
      <c r="AA59" s="667">
        <v>638.26536168542953</v>
      </c>
      <c r="AB59" s="738" t="s">
        <v>461</v>
      </c>
      <c r="AC59" s="605">
        <f>IF(AC58="",  "", SQRT(AC58)/(AC57))</f>
        <v>0.14285713092700636</v>
      </c>
      <c r="AD59" s="50">
        <v>674.6</v>
      </c>
      <c r="AE59" s="51">
        <v>90.207999999999998</v>
      </c>
      <c r="AF59" s="52">
        <f t="shared" si="0"/>
        <v>4.4754945808491695E-2</v>
      </c>
    </row>
    <row r="60" spans="1:109" ht="15" customHeight="1">
      <c r="A60" s="61"/>
      <c r="B60" s="42">
        <f t="shared" si="1"/>
        <v>641</v>
      </c>
      <c r="C60" s="569">
        <f>IF('Registro Original'!C60 = "", "", 'Registro Original'!C60)</f>
        <v>0.14299999999999999</v>
      </c>
      <c r="D60" s="565" t="str">
        <f t="shared" si="2"/>
        <v/>
      </c>
      <c r="E60" s="42">
        <f t="shared" si="3"/>
        <v>639</v>
      </c>
      <c r="F60" s="569">
        <f>IF('Registro Original'!F60 = "", "", 'Registro Original'!F60)</f>
        <v>0.14299999999999999</v>
      </c>
      <c r="G60" s="36" t="str">
        <f t="shared" si="4"/>
        <v/>
      </c>
      <c r="H60" s="35"/>
      <c r="I60" s="35"/>
      <c r="J60" s="35"/>
      <c r="K60" s="35"/>
      <c r="L60" s="35"/>
      <c r="M60" s="37"/>
      <c r="U60" s="608">
        <v>2</v>
      </c>
      <c r="V60" s="610">
        <f>Z59</f>
        <v>638.55425718486674</v>
      </c>
      <c r="W60" s="604">
        <f t="shared" si="7"/>
        <v>0.14404296875</v>
      </c>
      <c r="X60" s="604">
        <f t="shared" si="8"/>
        <v>-8.58306884765625E-5</v>
      </c>
      <c r="Y60" s="609">
        <f t="shared" si="9"/>
        <v>-2.9267072677612305E-3</v>
      </c>
      <c r="Z60" s="605">
        <f t="shared" si="10"/>
        <v>638.52493047719702</v>
      </c>
      <c r="AA60" s="620" t="s">
        <v>371</v>
      </c>
      <c r="AB60" s="738" t="s">
        <v>463</v>
      </c>
      <c r="AC60" s="732">
        <f>COUNT(U57,U67)</f>
        <v>2</v>
      </c>
      <c r="AD60" s="50">
        <v>674.5</v>
      </c>
      <c r="AE60" s="51">
        <v>90.12</v>
      </c>
      <c r="AF60" s="52">
        <f t="shared" si="0"/>
        <v>4.5178816948206781E-2</v>
      </c>
    </row>
    <row r="61" spans="1:109" ht="15" customHeight="1">
      <c r="A61" s="60"/>
      <c r="B61" s="42">
        <f t="shared" si="1"/>
        <v>640</v>
      </c>
      <c r="C61" s="569">
        <f>IF('Registro Original'!C61 = "", "", 'Registro Original'!C61)</f>
        <v>0.14899999999999999</v>
      </c>
      <c r="D61" s="565" t="str">
        <f t="shared" si="2"/>
        <v/>
      </c>
      <c r="E61" s="42">
        <f t="shared" si="3"/>
        <v>638.5</v>
      </c>
      <c r="F61" s="569">
        <f>IF('Registro Original'!F61 = "", "", 'Registro Original'!F61)</f>
        <v>0.14799999999999999</v>
      </c>
      <c r="G61" s="36" t="str">
        <f t="shared" si="4"/>
        <v/>
      </c>
      <c r="H61" s="35"/>
      <c r="I61" s="35"/>
      <c r="J61" s="35"/>
      <c r="K61" s="35"/>
      <c r="L61" s="35"/>
      <c r="M61" s="38"/>
      <c r="U61" s="608">
        <v>3</v>
      </c>
      <c r="V61" s="610">
        <f t="shared" ref="V61:V65" si="11">Z60</f>
        <v>638.52493047719702</v>
      </c>
      <c r="W61" s="604">
        <f t="shared" si="7"/>
        <v>0.14453125</v>
      </c>
      <c r="X61" s="604">
        <f t="shared" si="8"/>
        <v>2.47955322265625E-5</v>
      </c>
      <c r="Y61" s="609">
        <f t="shared" si="9"/>
        <v>-2.870514988899231E-3</v>
      </c>
      <c r="Z61" s="605">
        <f t="shared" si="10"/>
        <v>638.53356848547162</v>
      </c>
      <c r="AA61" s="637">
        <f xml:space="preserve"> ($V$57 +  2*$W$57*(AA59) +  3*$X$57*(AA59^2) + 4*$Y$57*(AA59^3) + 5*$Z$57*(AA59^4) + 6*$AA$57*(AA59^5))</f>
        <v>7.076263427734375E-4</v>
      </c>
      <c r="AB61" s="739" t="s">
        <v>462</v>
      </c>
      <c r="AC61" s="634">
        <f>IF(AC59="", "", AC59/SQRT(AC60))</f>
        <v>0.10101524601934064</v>
      </c>
      <c r="AD61" s="50">
        <v>674.4</v>
      </c>
      <c r="AE61" s="51">
        <v>90.102999999999994</v>
      </c>
      <c r="AF61" s="52">
        <f t="shared" si="0"/>
        <v>4.5260748846069461E-2</v>
      </c>
    </row>
    <row r="62" spans="1:109" ht="15" customHeight="1">
      <c r="A62" s="62"/>
      <c r="B62" s="42">
        <f t="shared" si="1"/>
        <v>639</v>
      </c>
      <c r="C62" s="569">
        <f>IF('Registro Original'!C62 = "", "", 'Registro Original'!C62)</f>
        <v>0.153</v>
      </c>
      <c r="D62" s="565">
        <f t="shared" si="2"/>
        <v>0.153</v>
      </c>
      <c r="E62" s="42">
        <f t="shared" si="3"/>
        <v>638</v>
      </c>
      <c r="F62" s="569">
        <f>IF('Registro Original'!F62 = "", "", 'Registro Original'!F62)</f>
        <v>0.152</v>
      </c>
      <c r="G62" s="36">
        <f t="shared" si="4"/>
        <v>0.152</v>
      </c>
      <c r="H62" s="35"/>
      <c r="I62" s="35"/>
      <c r="J62" s="35"/>
      <c r="K62" s="35"/>
      <c r="L62" s="35"/>
      <c r="M62" s="38"/>
      <c r="U62" s="608">
        <v>4</v>
      </c>
      <c r="V62" s="610">
        <f t="shared" si="11"/>
        <v>638.53356848547162</v>
      </c>
      <c r="W62" s="604">
        <f t="shared" si="7"/>
        <v>0.140625</v>
      </c>
      <c r="X62" s="604">
        <f t="shared" si="8"/>
        <v>0</v>
      </c>
      <c r="Y62" s="609">
        <f t="shared" si="9"/>
        <v>-2.8867572546005249E-3</v>
      </c>
      <c r="Z62" s="605">
        <f t="shared" si="10"/>
        <v>638.53356848547162</v>
      </c>
      <c r="AA62" s="621"/>
      <c r="AB62" s="604"/>
      <c r="AC62" s="604"/>
      <c r="AD62" s="50">
        <v>674.3</v>
      </c>
      <c r="AE62" s="51">
        <v>90.03</v>
      </c>
      <c r="AF62" s="52">
        <f t="shared" si="0"/>
        <v>4.5612749855484941E-2</v>
      </c>
    </row>
    <row r="63" spans="1:109" ht="15" customHeight="1">
      <c r="A63" s="59" t="s">
        <v>337</v>
      </c>
      <c r="B63" s="42">
        <f>IF(ISNUMBER($G$45),B64+$G$45,"")</f>
        <v>638</v>
      </c>
      <c r="C63" s="569">
        <f>IF('Registro Original'!C63 = "", "", 'Registro Original'!C63)</f>
        <v>0.153</v>
      </c>
      <c r="D63" s="565">
        <f t="shared" si="2"/>
        <v>0.153</v>
      </c>
      <c r="E63" s="42">
        <f>IF(ISNUMBER($G$45),E64+$K$45,"")</f>
        <v>637.5</v>
      </c>
      <c r="F63" s="569">
        <f>IF('Registro Original'!F63 = "", "", 'Registro Original'!F63)</f>
        <v>0.152</v>
      </c>
      <c r="G63" s="36">
        <f t="shared" si="4"/>
        <v>0.152</v>
      </c>
      <c r="H63" s="35"/>
      <c r="I63" s="35"/>
      <c r="J63" s="35"/>
      <c r="K63" s="35"/>
      <c r="L63" s="35"/>
      <c r="M63" s="36"/>
      <c r="U63" s="608">
        <v>5</v>
      </c>
      <c r="V63" s="610">
        <f t="shared" si="11"/>
        <v>638.53356848547162</v>
      </c>
      <c r="W63" s="604">
        <f t="shared" si="7"/>
        <v>0.140625</v>
      </c>
      <c r="X63" s="604">
        <f t="shared" si="8"/>
        <v>0</v>
      </c>
      <c r="Y63" s="609">
        <f t="shared" si="9"/>
        <v>-2.8867572546005249E-3</v>
      </c>
      <c r="Z63" s="605">
        <f t="shared" si="10"/>
        <v>638.53356848547162</v>
      </c>
      <c r="AA63" s="621"/>
      <c r="AC63" s="22"/>
      <c r="AD63" s="50">
        <v>674.2</v>
      </c>
      <c r="AE63" s="51">
        <v>90.072999999999993</v>
      </c>
      <c r="AF63" s="52">
        <f t="shared" si="0"/>
        <v>4.540537226514306E-2</v>
      </c>
    </row>
    <row r="64" spans="1:109" ht="15" customHeight="1">
      <c r="A64" s="45">
        <v>637.49</v>
      </c>
      <c r="B64" s="121">
        <v>637</v>
      </c>
      <c r="C64" s="569">
        <f>IF('Registro Original'!C64 = "", "", 'Registro Original'!C64)</f>
        <v>0.15</v>
      </c>
      <c r="D64" s="565" t="str">
        <f>IF(C64&lt;&gt;"",IF(C64 = LARGE($C$52:$C$76,1), C64, ""), "")</f>
        <v/>
      </c>
      <c r="E64" s="121">
        <v>637</v>
      </c>
      <c r="F64" s="569">
        <f>IF('Registro Original'!F64 = "", "", 'Registro Original'!F64)</f>
        <v>0.14799999999999999</v>
      </c>
      <c r="G64" s="36" t="str">
        <f>IF(F64 &lt;&gt;"", IF(F64 = LARGE($F$52:$F$76,1), F64, ""), "")</f>
        <v/>
      </c>
      <c r="H64" s="35"/>
      <c r="I64" s="35"/>
      <c r="J64" s="35"/>
      <c r="K64" s="35"/>
      <c r="L64" s="35"/>
      <c r="M64" s="35"/>
      <c r="U64" s="608">
        <v>6</v>
      </c>
      <c r="V64" s="610">
        <f t="shared" si="11"/>
        <v>638.53356848547162</v>
      </c>
      <c r="W64" s="604">
        <f t="shared" si="7"/>
        <v>0.140625</v>
      </c>
      <c r="X64" s="604">
        <f t="shared" si="8"/>
        <v>0</v>
      </c>
      <c r="Y64" s="609">
        <f t="shared" si="9"/>
        <v>-2.8867572546005249E-3</v>
      </c>
      <c r="Z64" s="605">
        <f t="shared" si="10"/>
        <v>638.53356848547162</v>
      </c>
      <c r="AA64" s="621"/>
      <c r="AC64" s="22"/>
      <c r="AD64" s="50">
        <v>674.1</v>
      </c>
      <c r="AE64" s="51">
        <v>90.087000000000003</v>
      </c>
      <c r="AF64" s="52">
        <f t="shared" si="0"/>
        <v>4.5337875342864084E-2</v>
      </c>
    </row>
    <row r="65" spans="1:94" ht="15" customHeight="1">
      <c r="A65" s="60"/>
      <c r="B65" s="42">
        <f>IF(ISNUMBER($G$45),B64-$G$45,"")</f>
        <v>636</v>
      </c>
      <c r="C65" s="569">
        <f>IF('Registro Original'!C65 = "", "", 'Registro Original'!C65)</f>
        <v>0.14199999999999999</v>
      </c>
      <c r="D65" s="565" t="str">
        <f t="shared" ref="D65:D76" si="12">IF(C65&lt;&gt;"",IF(C65 = LARGE($C$52:$C$76,1), C65, ""), "")</f>
        <v/>
      </c>
      <c r="E65" s="42">
        <f>IF(ISNUMBER($G$45),E64-$K$45,"")</f>
        <v>636.5</v>
      </c>
      <c r="F65" s="569">
        <f>IF('Registro Original'!F65 = "", "", 'Registro Original'!F65)</f>
        <v>0.13900000000000001</v>
      </c>
      <c r="G65" s="36" t="str">
        <f t="shared" ref="G65:G76" si="13">IF(F65 &lt;&gt;"", IF(F65 = LARGE($F$52:$F$76,1), F65, ""), "")</f>
        <v/>
      </c>
      <c r="H65" s="35"/>
      <c r="I65" s="35"/>
      <c r="J65" s="35"/>
      <c r="K65" s="35"/>
      <c r="L65" s="35"/>
      <c r="M65" s="36"/>
      <c r="U65" s="611">
        <v>7</v>
      </c>
      <c r="V65" s="657">
        <f t="shared" si="11"/>
        <v>638.53356848547162</v>
      </c>
      <c r="W65" s="612">
        <f t="shared" si="7"/>
        <v>0.140625</v>
      </c>
      <c r="X65" s="612">
        <f t="shared" si="8"/>
        <v>0</v>
      </c>
      <c r="Y65" s="613">
        <f t="shared" si="9"/>
        <v>-2.8867572546005249E-3</v>
      </c>
      <c r="Z65" s="634">
        <f t="shared" si="10"/>
        <v>638.53356848547162</v>
      </c>
      <c r="AA65" s="622"/>
      <c r="AB65" s="22"/>
      <c r="AC65" s="22"/>
      <c r="AD65" s="50">
        <v>674</v>
      </c>
      <c r="AE65" s="51">
        <v>90.088999999999999</v>
      </c>
      <c r="AF65" s="52">
        <f t="shared" si="0"/>
        <v>4.5328233781681264E-2</v>
      </c>
    </row>
    <row r="66" spans="1:94" ht="15" customHeight="1">
      <c r="A66" s="61"/>
      <c r="B66" s="42">
        <f t="shared" ref="B66:B76" si="14">IF(ISNUMBER($G$45),B65-$G$45,"")</f>
        <v>635</v>
      </c>
      <c r="C66" s="569">
        <f>IF('Registro Original'!C66 = "", "", 'Registro Original'!C66)</f>
        <v>0.13300000000000001</v>
      </c>
      <c r="D66" s="565" t="str">
        <f t="shared" si="12"/>
        <v/>
      </c>
      <c r="E66" s="42">
        <f t="shared" ref="E66:E76" si="15">IF(ISNUMBER($G$45),E65-$K$45,"")</f>
        <v>636</v>
      </c>
      <c r="F66" s="569">
        <f>IF('Registro Original'!F66 = "", "", 'Registro Original'!F66)</f>
        <v>0.129</v>
      </c>
      <c r="G66" s="36" t="str">
        <f t="shared" si="13"/>
        <v/>
      </c>
      <c r="H66" s="35"/>
      <c r="I66" s="35"/>
      <c r="J66" s="35"/>
      <c r="K66" s="35"/>
      <c r="L66" s="35"/>
      <c r="M66" s="35"/>
      <c r="U66" s="614" t="s">
        <v>359</v>
      </c>
      <c r="V66" s="615" t="s">
        <v>360</v>
      </c>
      <c r="W66" s="615" t="s">
        <v>361</v>
      </c>
      <c r="X66" s="615" t="s">
        <v>362</v>
      </c>
      <c r="Y66" s="615" t="s">
        <v>363</v>
      </c>
      <c r="Z66" s="615" t="s">
        <v>364</v>
      </c>
      <c r="AA66" s="616" t="s">
        <v>365</v>
      </c>
      <c r="AB66" s="735" t="s">
        <v>458</v>
      </c>
      <c r="AC66" s="736">
        <f>IF(U67="","",IF(AA67&lt;&gt;0, 6,5))</f>
        <v>6</v>
      </c>
      <c r="AD66" s="50">
        <v>673.9</v>
      </c>
      <c r="AE66" s="51">
        <v>90.097999999999999</v>
      </c>
      <c r="AF66" s="52">
        <f t="shared" si="0"/>
        <v>4.5284849405001687E-2</v>
      </c>
    </row>
    <row r="67" spans="1:94" ht="15" customHeight="1">
      <c r="A67" s="60"/>
      <c r="B67" s="42">
        <f t="shared" si="14"/>
        <v>634</v>
      </c>
      <c r="C67" s="569">
        <f>IF('Registro Original'!C67 = "", "", 'Registro Original'!C67)</f>
        <v>0.121</v>
      </c>
      <c r="D67" s="565" t="str">
        <f t="shared" si="12"/>
        <v/>
      </c>
      <c r="E67" s="42">
        <f t="shared" si="15"/>
        <v>635.5</v>
      </c>
      <c r="F67" s="569">
        <f>IF('Registro Original'!F67 = "", "", 'Registro Original'!F67)</f>
        <v>0.11700000000000001</v>
      </c>
      <c r="G67" s="36" t="str">
        <f t="shared" si="13"/>
        <v/>
      </c>
      <c r="H67" s="35"/>
      <c r="I67" s="35"/>
      <c r="J67" s="35"/>
      <c r="K67" s="35"/>
      <c r="L67" s="35"/>
      <c r="M67" s="36"/>
      <c r="T67" s="600"/>
      <c r="U67" s="633">
        <v>937543153813.50098</v>
      </c>
      <c r="V67" s="612">
        <v>-8815697415.7932301</v>
      </c>
      <c r="W67" s="612">
        <v>34539039.852477498</v>
      </c>
      <c r="X67" s="612">
        <v>-72170.878624928606</v>
      </c>
      <c r="Y67" s="612">
        <v>84.827305261693894</v>
      </c>
      <c r="Z67" s="612">
        <v>-5.3174999815830397E-2</v>
      </c>
      <c r="AA67" s="634">
        <v>1.38888888407962E-5</v>
      </c>
      <c r="AB67" s="737" t="s">
        <v>459</v>
      </c>
      <c r="AC67" s="732">
        <f>IF(AC66="", "",AC66 +1)</f>
        <v>7</v>
      </c>
      <c r="AD67" s="50">
        <v>673.8</v>
      </c>
      <c r="AE67" s="51">
        <v>90.004000000000005</v>
      </c>
      <c r="AF67" s="52">
        <f t="shared" si="0"/>
        <v>4.5738189012621729E-2</v>
      </c>
    </row>
    <row r="68" spans="1:94" ht="15" customHeight="1">
      <c r="A68" s="60"/>
      <c r="B68" s="42">
        <f t="shared" si="14"/>
        <v>633</v>
      </c>
      <c r="C68" s="569">
        <f>IF('Registro Original'!C68 = "", "", 'Registro Original'!C68)</f>
        <v>0.104</v>
      </c>
      <c r="D68" s="565" t="str">
        <f t="shared" si="12"/>
        <v/>
      </c>
      <c r="E68" s="42">
        <f t="shared" si="15"/>
        <v>635</v>
      </c>
      <c r="F68" s="569">
        <f>IF('Registro Original'!F68 = "", "", 'Registro Original'!F68)</f>
        <v>0.1</v>
      </c>
      <c r="G68" s="36" t="str">
        <f t="shared" si="13"/>
        <v/>
      </c>
      <c r="H68" s="35"/>
      <c r="I68" s="35"/>
      <c r="J68" s="35"/>
      <c r="K68" s="35"/>
      <c r="L68" s="35"/>
      <c r="M68" s="36"/>
      <c r="U68" s="606" t="s">
        <v>373</v>
      </c>
      <c r="V68" s="607" t="s">
        <v>369</v>
      </c>
      <c r="W68" s="601" t="s">
        <v>375</v>
      </c>
      <c r="X68" s="601" t="s">
        <v>367</v>
      </c>
      <c r="Y68" s="601" t="s">
        <v>368</v>
      </c>
      <c r="Z68" s="635" t="s">
        <v>370</v>
      </c>
      <c r="AA68" s="636" t="s">
        <v>369</v>
      </c>
      <c r="AB68" s="737" t="s">
        <v>460</v>
      </c>
      <c r="AC68" s="605">
        <f xml:space="preserve"> 1.00000084232911</f>
        <v>1.00000084232911</v>
      </c>
      <c r="AD68" s="50">
        <v>673.7</v>
      </c>
      <c r="AE68" s="51">
        <v>90.03</v>
      </c>
      <c r="AF68" s="52">
        <f t="shared" si="0"/>
        <v>4.5612749855484941E-2</v>
      </c>
    </row>
    <row r="69" spans="1:94" ht="15" customHeight="1">
      <c r="A69" s="60"/>
      <c r="B69" s="42">
        <f t="shared" si="14"/>
        <v>632</v>
      </c>
      <c r="C69" s="569">
        <f>IF('Registro Original'!C69 = "", "", 'Registro Original'!C69)</f>
        <v>9.0999999999999998E-2</v>
      </c>
      <c r="D69" s="565" t="str">
        <f t="shared" si="12"/>
        <v/>
      </c>
      <c r="E69" s="42">
        <f t="shared" si="15"/>
        <v>634.5</v>
      </c>
      <c r="F69" s="569">
        <f>IF('Registro Original'!F69 = "", "", 'Registro Original'!F69)</f>
        <v>8.6999999999999994E-2</v>
      </c>
      <c r="G69" s="36" t="str">
        <f t="shared" si="13"/>
        <v/>
      </c>
      <c r="H69" s="35"/>
      <c r="I69" s="35"/>
      <c r="J69" s="35"/>
      <c r="K69" s="35"/>
      <c r="L69" s="35"/>
      <c r="M69" s="36"/>
      <c r="U69" s="608">
        <v>1</v>
      </c>
      <c r="V69" s="625">
        <v>638.1</v>
      </c>
      <c r="W69" s="604">
        <f t="shared" ref="W69:W75" si="16" xml:space="preserve"> $U$67 + $V$67*(V69) + $W$67*(V69^2) + $X$67*(V69^3) + $Y$67*(V69^4) + $Z$67*(V69^5) + $AA$67*(V69^6)</f>
        <v>0.1307373046875</v>
      </c>
      <c r="X69" s="604">
        <f t="shared" ref="X69:X75" si="17" xml:space="preserve"> ($V$67 +  2*$W$67*(V69) +  3*$X$67*(V69^2) + 4*$Y$67*(V69^3) + 5*$Z$67*(V69^4) + 6*$AA$67*(V69^5))</f>
        <v>1.4400482177734375E-3</v>
      </c>
      <c r="Y69" s="617">
        <f t="shared" ref="Y69:Y75" si="18" xml:space="preserve"> (2*$W$67 + 6*$X$67*(V69) + 12*$Y$67*(V69^2) + 20*$Z$67*(V69^3) + 30*$AA$67*(V69^4))</f>
        <v>-3.7440955638885498E-3</v>
      </c>
      <c r="Z69" s="605">
        <f t="shared" ref="Z69:Z75" si="19">V69 - (X69/Y69)</f>
        <v>638.48461844608414</v>
      </c>
      <c r="AA69" s="668">
        <f>AA59</f>
        <v>638.26536168542953</v>
      </c>
      <c r="AB69" s="738" t="s">
        <v>461</v>
      </c>
      <c r="AC69" s="605">
        <f>IF(AC68="",  "", SQRT(AC68)/(AC67))</f>
        <v>0.14285720302349519</v>
      </c>
      <c r="AD69" s="50">
        <v>673.6</v>
      </c>
      <c r="AE69" s="51">
        <v>89.988</v>
      </c>
      <c r="AF69" s="52">
        <f t="shared" ref="AF69:AF132" si="20">-LOG(AE69/100)</f>
        <v>4.5815400352334126E-2</v>
      </c>
    </row>
    <row r="70" spans="1:94" ht="15" customHeight="1">
      <c r="A70" s="590" t="s">
        <v>351</v>
      </c>
      <c r="B70" s="42">
        <f t="shared" si="14"/>
        <v>631</v>
      </c>
      <c r="C70" s="569">
        <f>IF('Registro Original'!C70 = "", "", 'Registro Original'!C70)</f>
        <v>7.9000000000000001E-2</v>
      </c>
      <c r="D70" s="565" t="str">
        <f t="shared" si="12"/>
        <v/>
      </c>
      <c r="E70" s="42">
        <f t="shared" si="15"/>
        <v>634</v>
      </c>
      <c r="F70" s="569">
        <f>IF('Registro Original'!F70 = "", "", 'Registro Original'!F70)</f>
        <v>7.5999999999999998E-2</v>
      </c>
      <c r="G70" s="36" t="str">
        <f t="shared" si="13"/>
        <v/>
      </c>
      <c r="H70" s="35"/>
      <c r="I70" s="35"/>
      <c r="J70" s="35"/>
      <c r="K70" s="35"/>
      <c r="L70" s="35"/>
      <c r="M70" s="36"/>
      <c r="U70" s="608">
        <v>2</v>
      </c>
      <c r="V70" s="610">
        <f t="shared" ref="V70:V75" si="21">Z69</f>
        <v>638.48461844608414</v>
      </c>
      <c r="W70" s="604">
        <f t="shared" si="16"/>
        <v>0.1318359375</v>
      </c>
      <c r="X70" s="604">
        <f t="shared" si="17"/>
        <v>2.6702880859375E-5</v>
      </c>
      <c r="Y70" s="617">
        <f t="shared" si="18"/>
        <v>-3.7513375282287598E-3</v>
      </c>
      <c r="Z70" s="605">
        <f t="shared" si="19"/>
        <v>638.49173667542459</v>
      </c>
      <c r="AA70" s="620" t="s">
        <v>371</v>
      </c>
      <c r="AB70" s="738" t="s">
        <v>463</v>
      </c>
      <c r="AC70" s="732">
        <f>COUNT(U57,U67)</f>
        <v>2</v>
      </c>
      <c r="AD70" s="50">
        <v>673.5</v>
      </c>
      <c r="AE70" s="51">
        <v>90.096999999999994</v>
      </c>
      <c r="AF70" s="52">
        <f t="shared" si="20"/>
        <v>4.5289669677283498E-2</v>
      </c>
    </row>
    <row r="71" spans="1:94" ht="15" customHeight="1">
      <c r="A71" s="60"/>
      <c r="B71" s="42">
        <f t="shared" si="14"/>
        <v>630</v>
      </c>
      <c r="C71" s="569" t="str">
        <f>IF('Registro Original'!C71 = "", "", 'Registro Original'!C71)</f>
        <v/>
      </c>
      <c r="D71" s="565" t="str">
        <f t="shared" si="12"/>
        <v/>
      </c>
      <c r="E71" s="42">
        <f t="shared" si="15"/>
        <v>633.5</v>
      </c>
      <c r="F71" s="569">
        <f>IF('Registro Original'!F71 = "", "", 'Registro Original'!F71)</f>
        <v>6.6000000000000003E-2</v>
      </c>
      <c r="G71" s="36" t="str">
        <f t="shared" si="13"/>
        <v/>
      </c>
      <c r="H71" s="35"/>
      <c r="I71" s="35"/>
      <c r="J71" s="35"/>
      <c r="K71" s="35"/>
      <c r="L71" s="35"/>
      <c r="M71" s="36"/>
      <c r="U71" s="608">
        <v>3</v>
      </c>
      <c r="V71" s="610">
        <f t="shared" si="21"/>
        <v>638.49173667542459</v>
      </c>
      <c r="W71" s="604">
        <f t="shared" si="16"/>
        <v>0.1324462890625</v>
      </c>
      <c r="X71" s="604">
        <f t="shared" si="17"/>
        <v>-2.47955322265625E-5</v>
      </c>
      <c r="Y71" s="617">
        <f t="shared" si="18"/>
        <v>-3.7546902894973755E-3</v>
      </c>
      <c r="Z71" s="605">
        <f t="shared" si="19"/>
        <v>638.48513279326266</v>
      </c>
      <c r="AA71" s="637">
        <f xml:space="preserve"> ($V$67 +  2*$W$67*(AA69) +  3*$X$67*(AA69^2) + 4*$Y$67*(AA69^3) + 5*$Z$67*(AA69^4) + 6*$AA$67*(AA69^5))</f>
        <v>8.23974609375E-4</v>
      </c>
      <c r="AB71" s="739" t="s">
        <v>462</v>
      </c>
      <c r="AC71" s="634">
        <f>IF(AC69="", "", AC69/SQRT(AC70))</f>
        <v>0.10101529699925681</v>
      </c>
      <c r="AD71" s="50">
        <v>673.4</v>
      </c>
      <c r="AE71" s="51">
        <v>90.07</v>
      </c>
      <c r="AF71" s="52">
        <f t="shared" si="20"/>
        <v>4.5419837256242677E-2</v>
      </c>
    </row>
    <row r="72" spans="1:94" ht="15" customHeight="1">
      <c r="A72" s="60"/>
      <c r="B72" s="42">
        <f t="shared" si="14"/>
        <v>629</v>
      </c>
      <c r="C72" s="569" t="str">
        <f>IF('Registro Original'!C72 = "", "", 'Registro Original'!C72)</f>
        <v/>
      </c>
      <c r="D72" s="565" t="str">
        <f t="shared" si="12"/>
        <v/>
      </c>
      <c r="E72" s="42">
        <f t="shared" si="15"/>
        <v>633</v>
      </c>
      <c r="F72" s="569" t="str">
        <f>IF('Registro Original'!F72 = "", "", 'Registro Original'!F72)</f>
        <v/>
      </c>
      <c r="G72" s="36" t="str">
        <f t="shared" si="13"/>
        <v/>
      </c>
      <c r="H72" s="35"/>
      <c r="I72" s="35"/>
      <c r="J72" s="35"/>
      <c r="K72" s="35"/>
      <c r="L72" s="35"/>
      <c r="M72" s="36"/>
      <c r="U72" s="608">
        <v>4</v>
      </c>
      <c r="V72" s="610">
        <f t="shared" si="21"/>
        <v>638.48513279326266</v>
      </c>
      <c r="W72" s="604">
        <f t="shared" si="16"/>
        <v>0.1317138671875</v>
      </c>
      <c r="X72" s="604">
        <f t="shared" si="17"/>
        <v>0</v>
      </c>
      <c r="Y72" s="617">
        <f t="shared" si="18"/>
        <v>-3.7515759468078613E-3</v>
      </c>
      <c r="Z72" s="605">
        <f t="shared" si="19"/>
        <v>638.48513279326266</v>
      </c>
      <c r="AA72" s="13"/>
      <c r="AB72" s="604"/>
      <c r="AC72" s="604"/>
      <c r="AD72" s="50">
        <v>673.3</v>
      </c>
      <c r="AE72" s="51">
        <v>90.016999999999996</v>
      </c>
      <c r="AF72" s="52">
        <f t="shared" si="20"/>
        <v>4.5675464905161493E-2</v>
      </c>
    </row>
    <row r="73" spans="1:94" ht="15" customHeight="1">
      <c r="A73" s="60"/>
      <c r="B73" s="42">
        <f t="shared" si="14"/>
        <v>628</v>
      </c>
      <c r="C73" s="569" t="str">
        <f>IF('Registro Original'!C73 = "", "", 'Registro Original'!C73)</f>
        <v/>
      </c>
      <c r="D73" s="565" t="str">
        <f t="shared" si="12"/>
        <v/>
      </c>
      <c r="E73" s="42">
        <f t="shared" si="15"/>
        <v>632.5</v>
      </c>
      <c r="F73" s="569" t="str">
        <f>IF('Registro Original'!F73 = "", "", 'Registro Original'!F73)</f>
        <v/>
      </c>
      <c r="G73" s="36" t="str">
        <f t="shared" si="13"/>
        <v/>
      </c>
      <c r="H73" s="35"/>
      <c r="I73" s="35"/>
      <c r="J73" s="35"/>
      <c r="K73" s="35"/>
      <c r="L73" s="35"/>
      <c r="M73" s="36"/>
      <c r="U73" s="608">
        <v>5</v>
      </c>
      <c r="V73" s="610">
        <f t="shared" si="21"/>
        <v>638.48513279326266</v>
      </c>
      <c r="W73" s="604">
        <f t="shared" si="16"/>
        <v>0.1317138671875</v>
      </c>
      <c r="X73" s="604">
        <f t="shared" si="17"/>
        <v>0</v>
      </c>
      <c r="Y73" s="617">
        <f t="shared" si="18"/>
        <v>-3.7515759468078613E-3</v>
      </c>
      <c r="Z73" s="605">
        <f t="shared" si="19"/>
        <v>638.48513279326266</v>
      </c>
      <c r="AA73" s="13"/>
      <c r="AB73" s="22"/>
      <c r="AC73" s="22"/>
      <c r="AD73" s="50">
        <v>673.2</v>
      </c>
      <c r="AE73" s="51">
        <v>89.951999999999998</v>
      </c>
      <c r="AF73" s="52">
        <f t="shared" si="20"/>
        <v>4.5989176072653327E-2</v>
      </c>
    </row>
    <row r="74" spans="1:94" ht="15" customHeight="1">
      <c r="A74" s="60"/>
      <c r="B74" s="42">
        <f t="shared" si="14"/>
        <v>627</v>
      </c>
      <c r="C74" s="569" t="str">
        <f>IF('Registro Original'!C74 = "", "", 'Registro Original'!C74)</f>
        <v/>
      </c>
      <c r="D74" s="565" t="str">
        <f t="shared" si="12"/>
        <v/>
      </c>
      <c r="E74" s="42">
        <f t="shared" si="15"/>
        <v>632</v>
      </c>
      <c r="F74" s="569" t="str">
        <f>IF('Registro Original'!F74 = "", "", 'Registro Original'!F74)</f>
        <v/>
      </c>
      <c r="G74" s="36" t="str">
        <f t="shared" si="13"/>
        <v/>
      </c>
      <c r="H74" s="35"/>
      <c r="I74" s="35"/>
      <c r="J74" s="35"/>
      <c r="K74" s="35"/>
      <c r="L74" s="35"/>
      <c r="M74" s="36"/>
      <c r="U74" s="608">
        <v>6</v>
      </c>
      <c r="V74" s="610">
        <f t="shared" si="21"/>
        <v>638.48513279326266</v>
      </c>
      <c r="W74" s="604">
        <f t="shared" si="16"/>
        <v>0.1317138671875</v>
      </c>
      <c r="X74" s="604">
        <f t="shared" si="17"/>
        <v>0</v>
      </c>
      <c r="Y74" s="617">
        <f t="shared" si="18"/>
        <v>-3.7515759468078613E-3</v>
      </c>
      <c r="Z74" s="605">
        <f t="shared" si="19"/>
        <v>638.48513279326266</v>
      </c>
      <c r="AA74" s="13"/>
      <c r="AB74" s="22"/>
      <c r="AC74" s="22"/>
      <c r="AD74" s="50">
        <v>673.1</v>
      </c>
      <c r="AE74" s="51">
        <v>89.918999999999997</v>
      </c>
      <c r="AF74" s="52">
        <f t="shared" si="20"/>
        <v>4.61485315892581E-2</v>
      </c>
    </row>
    <row r="75" spans="1:94" ht="15" customHeight="1">
      <c r="A75" s="61"/>
      <c r="B75" s="42">
        <f t="shared" si="14"/>
        <v>626</v>
      </c>
      <c r="C75" s="569" t="str">
        <f>IF('Registro Original'!C75 = "", "", 'Registro Original'!C75)</f>
        <v/>
      </c>
      <c r="D75" s="565" t="str">
        <f t="shared" si="12"/>
        <v/>
      </c>
      <c r="E75" s="42">
        <f t="shared" si="15"/>
        <v>631.5</v>
      </c>
      <c r="F75" s="569" t="str">
        <f>IF('Registro Original'!F75 = "", "", 'Registro Original'!F75)</f>
        <v/>
      </c>
      <c r="G75" s="36" t="str">
        <f t="shared" si="13"/>
        <v/>
      </c>
      <c r="H75" s="35"/>
      <c r="I75" s="35"/>
      <c r="J75" s="35"/>
      <c r="K75" s="35"/>
      <c r="L75" s="35"/>
      <c r="M75" s="35"/>
      <c r="U75" s="611">
        <v>7</v>
      </c>
      <c r="V75" s="658">
        <f t="shared" si="21"/>
        <v>638.48513279326266</v>
      </c>
      <c r="W75" s="612">
        <f t="shared" si="16"/>
        <v>0.1317138671875</v>
      </c>
      <c r="X75" s="612">
        <f t="shared" si="17"/>
        <v>0</v>
      </c>
      <c r="Y75" s="618">
        <f t="shared" si="18"/>
        <v>-3.7515759468078613E-3</v>
      </c>
      <c r="Z75" s="634">
        <f t="shared" si="19"/>
        <v>638.48513279326266</v>
      </c>
      <c r="AA75" s="15"/>
      <c r="AB75" s="22"/>
      <c r="AC75" s="22"/>
      <c r="AD75" s="50">
        <v>673</v>
      </c>
      <c r="AE75" s="51">
        <v>89.938000000000002</v>
      </c>
      <c r="AF75" s="52">
        <f t="shared" si="20"/>
        <v>4.6056774302226038E-2</v>
      </c>
    </row>
    <row r="76" spans="1:94" ht="15" customHeight="1" thickBot="1">
      <c r="A76" s="43"/>
      <c r="B76" s="47">
        <f t="shared" si="14"/>
        <v>625</v>
      </c>
      <c r="C76" s="569" t="str">
        <f>IF('Registro Original'!C76 = "", "", 'Registro Original'!C76)</f>
        <v/>
      </c>
      <c r="D76" s="565" t="str">
        <f t="shared" si="12"/>
        <v/>
      </c>
      <c r="E76" s="47">
        <f t="shared" si="15"/>
        <v>631</v>
      </c>
      <c r="F76" s="570" t="str">
        <f>IF('Registro Original'!F76 = "", "", 'Registro Original'!F76)</f>
        <v/>
      </c>
      <c r="G76" s="571" t="str">
        <f t="shared" si="13"/>
        <v/>
      </c>
      <c r="H76" s="35"/>
      <c r="I76" s="35"/>
      <c r="J76" s="35"/>
      <c r="K76" s="35"/>
      <c r="L76" s="35"/>
      <c r="M76" s="36"/>
      <c r="S76" s="22"/>
      <c r="T76" s="22"/>
      <c r="AB76" s="22"/>
      <c r="AC76" s="22"/>
      <c r="AD76" s="50">
        <v>672.9</v>
      </c>
      <c r="AE76" s="51">
        <v>89.94</v>
      </c>
      <c r="AF76" s="52">
        <f t="shared" si="20"/>
        <v>4.6047116768076914E-2</v>
      </c>
    </row>
    <row r="77" spans="1:94" ht="15" customHeight="1" thickTop="1">
      <c r="A77" s="61"/>
      <c r="B77" s="44">
        <f t="shared" ref="B77:B87" si="22">IF(ISNUMBER($G$45),B78+$G$45,"")</f>
        <v>549</v>
      </c>
      <c r="C77" s="722" t="str">
        <f>IF('Registro Original'!C77 = "", "", 'Registro Original'!C77)</f>
        <v/>
      </c>
      <c r="D77" s="586" t="str">
        <f t="shared" ref="D77:D88" si="23">IF(C77&lt;&gt;"",IF(C77 = LARGE($C$77:$C$101,1), C77, ""), "")</f>
        <v/>
      </c>
      <c r="E77" s="42">
        <f t="shared" ref="E77:E87" si="24">IF(ISNUMBER($G$45),E78+$K$45,"")</f>
        <v>543</v>
      </c>
      <c r="F77" s="568" t="str">
        <f>IF('Registro Original'!F77 = "", "", 'Registro Original'!F77)</f>
        <v/>
      </c>
      <c r="G77" s="36" t="str">
        <f t="shared" ref="G77:G88" si="25">IF(F77 &lt;&gt;"", IF(F77 = LARGE($F$77:$F$101,1), F77, ""), "")</f>
        <v/>
      </c>
      <c r="H77" s="35"/>
      <c r="I77" s="35"/>
      <c r="J77" s="35"/>
      <c r="K77" s="35"/>
      <c r="L77" s="35"/>
      <c r="M77" s="39"/>
      <c r="S77" s="22"/>
      <c r="U77" s="103" t="s">
        <v>88</v>
      </c>
      <c r="V77" s="104" t="s">
        <v>89</v>
      </c>
      <c r="W77" s="105" t="s">
        <v>90</v>
      </c>
      <c r="X77" s="104" t="s">
        <v>91</v>
      </c>
      <c r="Y77" s="106" t="s">
        <v>96</v>
      </c>
      <c r="Z77" s="626" t="s">
        <v>378</v>
      </c>
      <c r="AA77" s="627" t="s">
        <v>379</v>
      </c>
      <c r="AB77" s="627" t="s">
        <v>380</v>
      </c>
      <c r="AC77" s="632" t="s">
        <v>381</v>
      </c>
      <c r="AD77" s="50">
        <v>672.8</v>
      </c>
      <c r="AE77" s="51">
        <v>89.944000000000003</v>
      </c>
      <c r="AF77" s="52">
        <f t="shared" si="20"/>
        <v>4.6027802344026959E-2</v>
      </c>
    </row>
    <row r="78" spans="1:94" ht="15" customHeight="1" thickBot="1">
      <c r="A78" s="61"/>
      <c r="B78" s="42">
        <f t="shared" si="22"/>
        <v>548</v>
      </c>
      <c r="C78" s="569" t="str">
        <f>IF('Registro Original'!C78 = "", "", 'Registro Original'!C78)</f>
        <v/>
      </c>
      <c r="D78" s="565" t="str">
        <f t="shared" si="23"/>
        <v/>
      </c>
      <c r="E78" s="42">
        <f t="shared" si="24"/>
        <v>542.5</v>
      </c>
      <c r="F78" s="569" t="str">
        <f>IF('Registro Original'!F78 = "", "", 'Registro Original'!F78)</f>
        <v/>
      </c>
      <c r="G78" s="36" t="str">
        <f t="shared" si="25"/>
        <v/>
      </c>
      <c r="H78" s="35"/>
      <c r="I78" s="35"/>
      <c r="J78" s="35"/>
      <c r="K78" s="35"/>
      <c r="L78" s="35"/>
      <c r="M78" s="39"/>
      <c r="S78" s="22"/>
      <c r="T78" s="22"/>
      <c r="U78" s="644">
        <v>542.4</v>
      </c>
      <c r="V78" s="643">
        <v>0.16200000000000001</v>
      </c>
      <c r="W78" s="645">
        <v>536.4</v>
      </c>
      <c r="X78" s="643">
        <v>0.4143</v>
      </c>
      <c r="Y78" s="646">
        <f>(V78 + X78)/2</f>
        <v>0.28815000000000002</v>
      </c>
      <c r="Z78" s="630">
        <f>AC78 - AB78</f>
        <v>5.1999999999999318</v>
      </c>
      <c r="AA78" s="628">
        <f>X78 - Y78</f>
        <v>0.12614999999999998</v>
      </c>
      <c r="AB78" s="629">
        <v>534.20000000000005</v>
      </c>
      <c r="AC78" s="631">
        <v>539.4</v>
      </c>
      <c r="AD78" s="50">
        <v>672.7</v>
      </c>
      <c r="AE78" s="51">
        <v>89.936999999999998</v>
      </c>
      <c r="AF78" s="52">
        <f t="shared" si="20"/>
        <v>4.6061603149835886E-2</v>
      </c>
    </row>
    <row r="79" spans="1:94" ht="15" customHeight="1" thickBot="1">
      <c r="A79" s="61"/>
      <c r="B79" s="42">
        <f t="shared" si="22"/>
        <v>547</v>
      </c>
      <c r="C79" s="569" t="str">
        <f>IF('Registro Original'!C79 = "", "", 'Registro Original'!C79)</f>
        <v/>
      </c>
      <c r="D79" s="565" t="str">
        <f t="shared" si="23"/>
        <v/>
      </c>
      <c r="E79" s="42">
        <f t="shared" si="24"/>
        <v>542</v>
      </c>
      <c r="F79" s="569" t="str">
        <f>IF('Registro Original'!F79 = "", "", 'Registro Original'!F79)</f>
        <v/>
      </c>
      <c r="G79" s="36" t="str">
        <f t="shared" si="25"/>
        <v/>
      </c>
      <c r="H79" s="35"/>
      <c r="I79" s="35"/>
      <c r="J79" s="35"/>
      <c r="K79" s="35"/>
      <c r="L79" s="35"/>
      <c r="M79" s="39"/>
      <c r="S79" s="22"/>
      <c r="T79" s="22"/>
      <c r="AD79" s="50">
        <v>672.6</v>
      </c>
      <c r="AE79" s="51">
        <v>89.926000000000002</v>
      </c>
      <c r="AF79" s="52">
        <f t="shared" si="20"/>
        <v>4.6114724017461681E-2</v>
      </c>
      <c r="AG79" s="746" t="s">
        <v>95</v>
      </c>
      <c r="AH79" s="473">
        <v>530.4</v>
      </c>
      <c r="AI79" s="473">
        <f t="shared" ref="AI79:CP79" si="26">AH79+0.2</f>
        <v>530.6</v>
      </c>
      <c r="AJ79" s="473">
        <f t="shared" si="26"/>
        <v>530.80000000000007</v>
      </c>
      <c r="AK79" s="473">
        <f t="shared" si="26"/>
        <v>531.00000000000011</v>
      </c>
      <c r="AL79" s="473">
        <f t="shared" si="26"/>
        <v>531.20000000000016</v>
      </c>
      <c r="AM79" s="473">
        <f t="shared" si="26"/>
        <v>531.4000000000002</v>
      </c>
      <c r="AN79" s="473">
        <f t="shared" si="26"/>
        <v>531.60000000000025</v>
      </c>
      <c r="AO79" s="473">
        <f t="shared" si="26"/>
        <v>531.8000000000003</v>
      </c>
      <c r="AP79" s="473">
        <f t="shared" si="26"/>
        <v>532.00000000000034</v>
      </c>
      <c r="AQ79" s="473">
        <f t="shared" si="26"/>
        <v>532.20000000000039</v>
      </c>
      <c r="AR79" s="473">
        <f t="shared" si="26"/>
        <v>532.40000000000043</v>
      </c>
      <c r="AS79" s="473">
        <f t="shared" si="26"/>
        <v>532.60000000000048</v>
      </c>
      <c r="AT79" s="473">
        <f t="shared" si="26"/>
        <v>532.80000000000052</v>
      </c>
      <c r="AU79" s="473">
        <f t="shared" si="26"/>
        <v>533.00000000000057</v>
      </c>
      <c r="AV79" s="473">
        <f t="shared" si="26"/>
        <v>533.20000000000061</v>
      </c>
      <c r="AW79" s="473">
        <f t="shared" si="26"/>
        <v>533.40000000000066</v>
      </c>
      <c r="AX79" s="473">
        <f t="shared" si="26"/>
        <v>533.6000000000007</v>
      </c>
      <c r="AY79" s="473">
        <f t="shared" si="26"/>
        <v>533.80000000000075</v>
      </c>
      <c r="AZ79" s="473">
        <f t="shared" si="26"/>
        <v>534.0000000000008</v>
      </c>
      <c r="BA79" s="473">
        <f t="shared" si="26"/>
        <v>534.20000000000084</v>
      </c>
      <c r="BB79" s="473">
        <f t="shared" si="26"/>
        <v>534.40000000000089</v>
      </c>
      <c r="BC79" s="473">
        <f t="shared" si="26"/>
        <v>534.60000000000093</v>
      </c>
      <c r="BD79" s="473">
        <f t="shared" si="26"/>
        <v>534.80000000000098</v>
      </c>
      <c r="BE79" s="473">
        <f t="shared" si="26"/>
        <v>535.00000000000102</v>
      </c>
      <c r="BF79" s="473">
        <f t="shared" si="26"/>
        <v>535.20000000000107</v>
      </c>
      <c r="BG79" s="473">
        <f t="shared" si="26"/>
        <v>535.40000000000111</v>
      </c>
      <c r="BH79" s="473">
        <f t="shared" si="26"/>
        <v>535.60000000000116</v>
      </c>
      <c r="BI79" s="473">
        <f t="shared" si="26"/>
        <v>535.80000000000121</v>
      </c>
      <c r="BJ79" s="473">
        <f t="shared" si="26"/>
        <v>536.00000000000125</v>
      </c>
      <c r="BK79" s="473">
        <f t="shared" si="26"/>
        <v>536.2000000000013</v>
      </c>
      <c r="BL79" s="473">
        <f t="shared" si="26"/>
        <v>536.40000000000134</v>
      </c>
      <c r="BM79" s="473">
        <f t="shared" si="26"/>
        <v>536.60000000000139</v>
      </c>
      <c r="BN79" s="473">
        <f t="shared" si="26"/>
        <v>536.80000000000143</v>
      </c>
      <c r="BO79" s="473">
        <f t="shared" si="26"/>
        <v>537.00000000000148</v>
      </c>
      <c r="BP79" s="473">
        <f t="shared" si="26"/>
        <v>537.20000000000152</v>
      </c>
      <c r="BQ79" s="473">
        <f t="shared" si="26"/>
        <v>537.40000000000157</v>
      </c>
      <c r="BR79" s="473">
        <f t="shared" si="26"/>
        <v>537.60000000000161</v>
      </c>
      <c r="BS79" s="473">
        <f t="shared" si="26"/>
        <v>537.80000000000166</v>
      </c>
      <c r="BT79" s="473">
        <f t="shared" si="26"/>
        <v>538.00000000000171</v>
      </c>
      <c r="BU79" s="473">
        <f t="shared" si="26"/>
        <v>538.20000000000175</v>
      </c>
      <c r="BV79" s="473">
        <f t="shared" si="26"/>
        <v>538.4000000000018</v>
      </c>
      <c r="BW79" s="473">
        <f t="shared" si="26"/>
        <v>538.60000000000184</v>
      </c>
      <c r="BX79" s="473">
        <f t="shared" si="26"/>
        <v>538.80000000000189</v>
      </c>
      <c r="BY79" s="473">
        <f t="shared" si="26"/>
        <v>539.00000000000193</v>
      </c>
      <c r="BZ79" s="473">
        <f t="shared" si="26"/>
        <v>539.20000000000198</v>
      </c>
      <c r="CA79" s="473">
        <f t="shared" si="26"/>
        <v>539.40000000000202</v>
      </c>
      <c r="CB79" s="473">
        <f t="shared" si="26"/>
        <v>539.60000000000207</v>
      </c>
      <c r="CC79" s="473">
        <f t="shared" si="26"/>
        <v>539.80000000000211</v>
      </c>
      <c r="CD79" s="473">
        <f t="shared" si="26"/>
        <v>540.00000000000216</v>
      </c>
      <c r="CE79" s="473">
        <f t="shared" si="26"/>
        <v>540.20000000000221</v>
      </c>
      <c r="CF79" s="473">
        <f t="shared" si="26"/>
        <v>540.40000000000225</v>
      </c>
      <c r="CG79" s="473">
        <f t="shared" si="26"/>
        <v>540.6000000000023</v>
      </c>
      <c r="CH79" s="473">
        <f t="shared" si="26"/>
        <v>540.80000000000234</v>
      </c>
      <c r="CI79" s="473">
        <f t="shared" si="26"/>
        <v>541.00000000000239</v>
      </c>
      <c r="CJ79" s="473">
        <f t="shared" si="26"/>
        <v>541.20000000000243</v>
      </c>
      <c r="CK79" s="473">
        <f t="shared" si="26"/>
        <v>541.40000000000248</v>
      </c>
      <c r="CL79" s="473">
        <f t="shared" si="26"/>
        <v>541.60000000000252</v>
      </c>
      <c r="CM79" s="473">
        <f t="shared" si="26"/>
        <v>541.80000000000257</v>
      </c>
      <c r="CN79" s="473">
        <f t="shared" si="26"/>
        <v>542.00000000000261</v>
      </c>
      <c r="CO79" s="473">
        <f t="shared" si="26"/>
        <v>542.20000000000266</v>
      </c>
      <c r="CP79" s="473">
        <f t="shared" si="26"/>
        <v>542.40000000000271</v>
      </c>
    </row>
    <row r="80" spans="1:94" ht="15" customHeight="1" thickBot="1">
      <c r="A80" s="61"/>
      <c r="B80" s="42">
        <f t="shared" si="22"/>
        <v>546</v>
      </c>
      <c r="C80" s="569" t="str">
        <f>IF('Registro Original'!C80 = "", "", 'Registro Original'!C80)</f>
        <v/>
      </c>
      <c r="D80" s="565" t="str">
        <f t="shared" si="23"/>
        <v/>
      </c>
      <c r="E80" s="42">
        <f t="shared" si="24"/>
        <v>541.5</v>
      </c>
      <c r="F80" s="569" t="str">
        <f>IF('Registro Original'!F80 = "", "", 'Registro Original'!F80)</f>
        <v/>
      </c>
      <c r="G80" s="36" t="str">
        <f t="shared" si="25"/>
        <v/>
      </c>
      <c r="H80" s="35"/>
      <c r="I80" s="35"/>
      <c r="J80" s="35"/>
      <c r="K80" s="35"/>
      <c r="L80" s="35"/>
      <c r="M80" s="39"/>
      <c r="S80" s="22"/>
      <c r="T80" s="22"/>
      <c r="U80" s="822" t="s">
        <v>374</v>
      </c>
      <c r="V80" s="823"/>
      <c r="W80" s="823"/>
      <c r="X80" s="823"/>
      <c r="Y80" s="823"/>
      <c r="Z80" s="823"/>
      <c r="AA80" s="824"/>
      <c r="AC80" s="640" t="s">
        <v>338</v>
      </c>
      <c r="AD80" s="50">
        <v>672.5</v>
      </c>
      <c r="AE80" s="51">
        <v>89.932000000000002</v>
      </c>
      <c r="AF80" s="52">
        <f t="shared" si="20"/>
        <v>4.6085748193285009E-2</v>
      </c>
      <c r="AG80" s="746"/>
      <c r="AH80" s="52">
        <f>$Y78</f>
        <v>0.28815000000000002</v>
      </c>
      <c r="AI80" s="473">
        <f t="shared" ref="AI80:CP80" si="27">AH80</f>
        <v>0.28815000000000002</v>
      </c>
      <c r="AJ80" s="473">
        <f t="shared" si="27"/>
        <v>0.28815000000000002</v>
      </c>
      <c r="AK80" s="473">
        <f t="shared" si="27"/>
        <v>0.28815000000000002</v>
      </c>
      <c r="AL80" s="473">
        <f t="shared" si="27"/>
        <v>0.28815000000000002</v>
      </c>
      <c r="AM80" s="473">
        <f t="shared" si="27"/>
        <v>0.28815000000000002</v>
      </c>
      <c r="AN80" s="473">
        <f t="shared" si="27"/>
        <v>0.28815000000000002</v>
      </c>
      <c r="AO80" s="473">
        <f t="shared" si="27"/>
        <v>0.28815000000000002</v>
      </c>
      <c r="AP80" s="473">
        <f t="shared" si="27"/>
        <v>0.28815000000000002</v>
      </c>
      <c r="AQ80" s="473">
        <f t="shared" si="27"/>
        <v>0.28815000000000002</v>
      </c>
      <c r="AR80" s="473">
        <f t="shared" si="27"/>
        <v>0.28815000000000002</v>
      </c>
      <c r="AS80" s="473">
        <f t="shared" si="27"/>
        <v>0.28815000000000002</v>
      </c>
      <c r="AT80" s="473">
        <f t="shared" si="27"/>
        <v>0.28815000000000002</v>
      </c>
      <c r="AU80" s="473">
        <f t="shared" si="27"/>
        <v>0.28815000000000002</v>
      </c>
      <c r="AV80" s="473">
        <f t="shared" si="27"/>
        <v>0.28815000000000002</v>
      </c>
      <c r="AW80" s="473">
        <f t="shared" si="27"/>
        <v>0.28815000000000002</v>
      </c>
      <c r="AX80" s="473">
        <f t="shared" si="27"/>
        <v>0.28815000000000002</v>
      </c>
      <c r="AY80" s="473">
        <f t="shared" si="27"/>
        <v>0.28815000000000002</v>
      </c>
      <c r="AZ80" s="473">
        <f t="shared" si="27"/>
        <v>0.28815000000000002</v>
      </c>
      <c r="BA80" s="473">
        <f t="shared" si="27"/>
        <v>0.28815000000000002</v>
      </c>
      <c r="BB80" s="473">
        <f t="shared" si="27"/>
        <v>0.28815000000000002</v>
      </c>
      <c r="BC80" s="473">
        <f t="shared" si="27"/>
        <v>0.28815000000000002</v>
      </c>
      <c r="BD80" s="473">
        <f t="shared" si="27"/>
        <v>0.28815000000000002</v>
      </c>
      <c r="BE80" s="473">
        <f t="shared" si="27"/>
        <v>0.28815000000000002</v>
      </c>
      <c r="BF80" s="473">
        <f t="shared" si="27"/>
        <v>0.28815000000000002</v>
      </c>
      <c r="BG80" s="473">
        <f t="shared" si="27"/>
        <v>0.28815000000000002</v>
      </c>
      <c r="BH80" s="473">
        <f t="shared" si="27"/>
        <v>0.28815000000000002</v>
      </c>
      <c r="BI80" s="473">
        <f t="shared" si="27"/>
        <v>0.28815000000000002</v>
      </c>
      <c r="BJ80" s="473">
        <f t="shared" si="27"/>
        <v>0.28815000000000002</v>
      </c>
      <c r="BK80" s="473">
        <f t="shared" si="27"/>
        <v>0.28815000000000002</v>
      </c>
      <c r="BL80" s="473">
        <f t="shared" si="27"/>
        <v>0.28815000000000002</v>
      </c>
      <c r="BM80" s="473">
        <f t="shared" si="27"/>
        <v>0.28815000000000002</v>
      </c>
      <c r="BN80" s="473">
        <f t="shared" si="27"/>
        <v>0.28815000000000002</v>
      </c>
      <c r="BO80" s="473">
        <f t="shared" si="27"/>
        <v>0.28815000000000002</v>
      </c>
      <c r="BP80" s="473">
        <f t="shared" si="27"/>
        <v>0.28815000000000002</v>
      </c>
      <c r="BQ80" s="473">
        <f t="shared" si="27"/>
        <v>0.28815000000000002</v>
      </c>
      <c r="BR80" s="473">
        <f t="shared" si="27"/>
        <v>0.28815000000000002</v>
      </c>
      <c r="BS80" s="473">
        <f t="shared" si="27"/>
        <v>0.28815000000000002</v>
      </c>
      <c r="BT80" s="473">
        <f t="shared" si="27"/>
        <v>0.28815000000000002</v>
      </c>
      <c r="BU80" s="473">
        <f t="shared" si="27"/>
        <v>0.28815000000000002</v>
      </c>
      <c r="BV80" s="473">
        <f t="shared" si="27"/>
        <v>0.28815000000000002</v>
      </c>
      <c r="BW80" s="473">
        <f t="shared" si="27"/>
        <v>0.28815000000000002</v>
      </c>
      <c r="BX80" s="473">
        <f t="shared" si="27"/>
        <v>0.28815000000000002</v>
      </c>
      <c r="BY80" s="473">
        <f t="shared" si="27"/>
        <v>0.28815000000000002</v>
      </c>
      <c r="BZ80" s="473">
        <f t="shared" si="27"/>
        <v>0.28815000000000002</v>
      </c>
      <c r="CA80" s="473">
        <f t="shared" si="27"/>
        <v>0.28815000000000002</v>
      </c>
      <c r="CB80" s="473">
        <f t="shared" si="27"/>
        <v>0.28815000000000002</v>
      </c>
      <c r="CC80" s="473">
        <f t="shared" si="27"/>
        <v>0.28815000000000002</v>
      </c>
      <c r="CD80" s="473">
        <f t="shared" si="27"/>
        <v>0.28815000000000002</v>
      </c>
      <c r="CE80" s="473">
        <f t="shared" si="27"/>
        <v>0.28815000000000002</v>
      </c>
      <c r="CF80" s="473">
        <f t="shared" si="27"/>
        <v>0.28815000000000002</v>
      </c>
      <c r="CG80" s="473">
        <f t="shared" si="27"/>
        <v>0.28815000000000002</v>
      </c>
      <c r="CH80" s="473">
        <f t="shared" si="27"/>
        <v>0.28815000000000002</v>
      </c>
      <c r="CI80" s="473">
        <f t="shared" si="27"/>
        <v>0.28815000000000002</v>
      </c>
      <c r="CJ80" s="473">
        <f t="shared" si="27"/>
        <v>0.28815000000000002</v>
      </c>
      <c r="CK80" s="473">
        <f t="shared" si="27"/>
        <v>0.28815000000000002</v>
      </c>
      <c r="CL80" s="473">
        <f t="shared" si="27"/>
        <v>0.28815000000000002</v>
      </c>
      <c r="CM80" s="473">
        <f t="shared" si="27"/>
        <v>0.28815000000000002</v>
      </c>
      <c r="CN80" s="473">
        <f t="shared" si="27"/>
        <v>0.28815000000000002</v>
      </c>
      <c r="CO80" s="473">
        <f t="shared" si="27"/>
        <v>0.28815000000000002</v>
      </c>
      <c r="CP80" s="473">
        <f t="shared" si="27"/>
        <v>0.28815000000000002</v>
      </c>
    </row>
    <row r="81" spans="1:32" ht="15" customHeight="1">
      <c r="A81" s="61"/>
      <c r="B81" s="42">
        <f t="shared" si="22"/>
        <v>545</v>
      </c>
      <c r="C81" s="569" t="str">
        <f>IF('Registro Original'!C81 = "", "", 'Registro Original'!C81)</f>
        <v/>
      </c>
      <c r="D81" s="565" t="str">
        <f t="shared" si="23"/>
        <v/>
      </c>
      <c r="E81" s="42">
        <f t="shared" si="24"/>
        <v>541</v>
      </c>
      <c r="F81" s="569" t="str">
        <f>IF('Registro Original'!F81 = "", "", 'Registro Original'!F81)</f>
        <v/>
      </c>
      <c r="G81" s="36" t="str">
        <f t="shared" si="25"/>
        <v/>
      </c>
      <c r="H81" s="35"/>
      <c r="I81" s="35"/>
      <c r="J81" s="35"/>
      <c r="K81" s="35"/>
      <c r="L81" s="35"/>
      <c r="M81" s="39"/>
      <c r="S81" s="22"/>
      <c r="T81" s="22"/>
      <c r="U81" s="602" t="s">
        <v>359</v>
      </c>
      <c r="V81" s="88" t="s">
        <v>360</v>
      </c>
      <c r="W81" s="88" t="s">
        <v>361</v>
      </c>
      <c r="X81" s="88" t="s">
        <v>362</v>
      </c>
      <c r="Y81" s="88" t="s">
        <v>363</v>
      </c>
      <c r="Z81" s="88" t="s">
        <v>364</v>
      </c>
      <c r="AA81" s="603" t="s">
        <v>365</v>
      </c>
      <c r="AB81" s="735" t="s">
        <v>458</v>
      </c>
      <c r="AC81" s="736">
        <f>IF(U82="","",IF(AA82&lt;&gt;0, 6,5))</f>
        <v>6</v>
      </c>
      <c r="AD81" s="50">
        <v>672.4</v>
      </c>
      <c r="AE81" s="51">
        <v>89.855000000000004</v>
      </c>
      <c r="AF81" s="52">
        <f t="shared" si="20"/>
        <v>4.6457751476628041E-2</v>
      </c>
    </row>
    <row r="82" spans="1:32" ht="15" customHeight="1">
      <c r="A82" s="61"/>
      <c r="B82" s="42">
        <f t="shared" si="22"/>
        <v>544</v>
      </c>
      <c r="C82" s="569">
        <f>IF('Registro Original'!C82 = "", "", 'Registro Original'!C82)</f>
        <v>0.14099999999999999</v>
      </c>
      <c r="D82" s="565" t="str">
        <f t="shared" si="23"/>
        <v/>
      </c>
      <c r="E82" s="42">
        <f t="shared" si="24"/>
        <v>540.5</v>
      </c>
      <c r="F82" s="569">
        <f>IF('Registro Original'!F82 = "", "", 'Registro Original'!F82)</f>
        <v>0.14299999999999999</v>
      </c>
      <c r="G82" s="36" t="str">
        <f t="shared" si="25"/>
        <v/>
      </c>
      <c r="H82" s="35"/>
      <c r="I82" s="35"/>
      <c r="J82" s="35"/>
      <c r="K82" s="35"/>
      <c r="L82" s="35"/>
      <c r="M82" s="39"/>
      <c r="S82" s="22"/>
      <c r="T82" s="22"/>
      <c r="U82" s="633">
        <v>-293641553725.36102</v>
      </c>
      <c r="V82" s="612">
        <v>3279963670.4144402</v>
      </c>
      <c r="W82" s="612">
        <v>-15265277.941674201</v>
      </c>
      <c r="X82" s="612">
        <v>37890.865884599298</v>
      </c>
      <c r="Y82" s="612">
        <v>-52.903240242427202</v>
      </c>
      <c r="Z82" s="612">
        <v>3.9393461591686198E-2</v>
      </c>
      <c r="AA82" s="634">
        <v>-1.22222222387336E-5</v>
      </c>
      <c r="AB82" s="737" t="s">
        <v>459</v>
      </c>
      <c r="AC82" s="732">
        <f>IF(AC81="", "",AC81 +1)</f>
        <v>7</v>
      </c>
      <c r="AD82" s="50">
        <v>672.3</v>
      </c>
      <c r="AE82" s="51">
        <v>89.834000000000003</v>
      </c>
      <c r="AF82" s="52">
        <f t="shared" si="20"/>
        <v>4.6559262244248674E-2</v>
      </c>
    </row>
    <row r="83" spans="1:32" ht="15" customHeight="1">
      <c r="A83" s="590" t="s">
        <v>352</v>
      </c>
      <c r="B83" s="42">
        <f t="shared" si="22"/>
        <v>543</v>
      </c>
      <c r="C83" s="569">
        <f>IF('Registro Original'!C83 = "", "", 'Registro Original'!C83)</f>
        <v>0.151</v>
      </c>
      <c r="D83" s="565" t="str">
        <f t="shared" si="23"/>
        <v/>
      </c>
      <c r="E83" s="42">
        <f t="shared" si="24"/>
        <v>540</v>
      </c>
      <c r="F83" s="569">
        <f>IF('Registro Original'!F83 = "", "", 'Registro Original'!F83)</f>
        <v>0.154</v>
      </c>
      <c r="G83" s="36" t="str">
        <f t="shared" si="25"/>
        <v/>
      </c>
      <c r="H83" s="35"/>
      <c r="I83" s="35"/>
      <c r="J83" s="35"/>
      <c r="K83" s="35"/>
      <c r="L83" s="35"/>
      <c r="M83" s="39"/>
      <c r="S83" s="22"/>
      <c r="T83" s="22"/>
      <c r="U83" s="606" t="s">
        <v>373</v>
      </c>
      <c r="V83" s="607" t="s">
        <v>369</v>
      </c>
      <c r="W83" s="601" t="s">
        <v>375</v>
      </c>
      <c r="X83" s="601" t="s">
        <v>367</v>
      </c>
      <c r="Y83" s="601" t="s">
        <v>368</v>
      </c>
      <c r="Z83" s="635" t="s">
        <v>370</v>
      </c>
      <c r="AA83" s="636" t="s">
        <v>369</v>
      </c>
      <c r="AB83" s="737" t="s">
        <v>460</v>
      </c>
      <c r="AC83" s="605">
        <f xml:space="preserve"> 0.99949118610231</f>
        <v>0.99949118610231003</v>
      </c>
      <c r="AD83" s="50">
        <v>672.2</v>
      </c>
      <c r="AE83" s="51">
        <v>89.831000000000003</v>
      </c>
      <c r="AF83" s="52">
        <f t="shared" si="20"/>
        <v>4.6573765719559165E-2</v>
      </c>
    </row>
    <row r="84" spans="1:32" ht="15" customHeight="1">
      <c r="A84" s="61"/>
      <c r="B84" s="42">
        <f t="shared" si="22"/>
        <v>542</v>
      </c>
      <c r="C84" s="569">
        <f>IF('Registro Original'!C84 = "", "", 'Registro Original'!C84)</f>
        <v>0.16600000000000001</v>
      </c>
      <c r="D84" s="565" t="str">
        <f t="shared" si="23"/>
        <v/>
      </c>
      <c r="E84" s="42">
        <f t="shared" si="24"/>
        <v>539.5</v>
      </c>
      <c r="F84" s="569">
        <f>IF('Registro Original'!F84 = "", "", 'Registro Original'!F84)</f>
        <v>0.17</v>
      </c>
      <c r="G84" s="36" t="str">
        <f t="shared" si="25"/>
        <v/>
      </c>
      <c r="H84" s="35"/>
      <c r="I84" s="35"/>
      <c r="J84" s="35"/>
      <c r="K84" s="35"/>
      <c r="L84" s="35"/>
      <c r="M84" s="39"/>
      <c r="S84" s="22"/>
      <c r="T84" s="600"/>
      <c r="U84" s="608">
        <v>1</v>
      </c>
      <c r="V84" s="624">
        <v>537.22</v>
      </c>
      <c r="W84" s="604">
        <f xml:space="preserve"> $U82 + $V82*(V84) + $W82*(V84^2) + $X82*(V84^3) + $Y82*(V84^4) + $Z82*(V84^5) + $AA82*(V84^6)</f>
        <v>0.2982177734375</v>
      </c>
      <c r="X84" s="604">
        <f xml:space="preserve"> ($V82 +  2*$W82*(V84) +  3*$X82*(V84^2) + 4*$Y82*(V84^3) + 5*$Z82*(V84^4) + 6*$AA82*(V84^5))</f>
        <v>8.2445144653320313E-4</v>
      </c>
      <c r="Y84" s="617">
        <f xml:space="preserve"> (2*$W82 + 6*$X82*(V84) + 12*$Y82*(V84^2) + 20*$Z82*(V84^3) + 30*$AA82*(V84^4))</f>
        <v>-2.5448445230722427E-2</v>
      </c>
      <c r="Z84" s="605">
        <f>V84 - (X84/Y84)</f>
        <v>537.25239692794821</v>
      </c>
      <c r="AA84" s="638">
        <v>537.25</v>
      </c>
      <c r="AB84" s="738" t="s">
        <v>461</v>
      </c>
      <c r="AC84" s="605">
        <f>IF(AC83="",  "", SQRT(AC83)/(AC82))</f>
        <v>0.14282079438306736</v>
      </c>
      <c r="AD84" s="50">
        <v>672.1</v>
      </c>
      <c r="AE84" s="51">
        <v>89.802000000000007</v>
      </c>
      <c r="AF84" s="52">
        <f t="shared" si="20"/>
        <v>4.6713990957512233E-2</v>
      </c>
    </row>
    <row r="85" spans="1:32" ht="15" customHeight="1">
      <c r="A85" s="60"/>
      <c r="B85" s="42">
        <f t="shared" si="22"/>
        <v>541</v>
      </c>
      <c r="C85" s="569">
        <f>IF('Registro Original'!C85 = "", "", 'Registro Original'!C85)</f>
        <v>0.193</v>
      </c>
      <c r="D85" s="565" t="str">
        <f t="shared" si="23"/>
        <v/>
      </c>
      <c r="E85" s="42">
        <f t="shared" si="24"/>
        <v>539</v>
      </c>
      <c r="F85" s="569">
        <f>IF('Registro Original'!F85 = "", "", 'Registro Original'!F85)</f>
        <v>0.2</v>
      </c>
      <c r="G85" s="36" t="str">
        <f t="shared" si="25"/>
        <v/>
      </c>
      <c r="H85" s="35"/>
      <c r="I85" s="35"/>
      <c r="J85" s="35"/>
      <c r="K85" s="35"/>
      <c r="L85" s="35"/>
      <c r="M85" s="40"/>
      <c r="S85" s="36"/>
      <c r="T85" s="22"/>
      <c r="U85" s="608">
        <v>2</v>
      </c>
      <c r="V85" s="610">
        <f>Z84</f>
        <v>537.25239692794821</v>
      </c>
      <c r="W85" s="604">
        <f xml:space="preserve"> $U$82 + $V$82*(V85) + $W$82*(V85^2) + $X$82*(V85^3) + $Y$82*(V85^4) + $Z$82*(V85^5) + $AA$82*(V85^6)</f>
        <v>0.298095703125</v>
      </c>
      <c r="X85" s="604">
        <f xml:space="preserve"> ($V$82 +  2*$W$82*(V85) +  3*$X$82*(V85^2) + 4*$Y$82*(V85^3) + 5*$Z$82*(V85^4) + 6*$AA$82*(V85^5))</f>
        <v>2.384185791015625E-6</v>
      </c>
      <c r="Y85" s="617">
        <f xml:space="preserve"> (2*$W$82 + 6*$X$82*(V85) + 12*$Y$82*(V85^2) + 20*$Z$82*(V85^3) + 30*$AA$82*(V85^4))</f>
        <v>-2.5413893163204193E-2</v>
      </c>
      <c r="Z85" s="605">
        <f>V85 - (X85/Y85)</f>
        <v>537.25249074221654</v>
      </c>
      <c r="AA85" s="620" t="s">
        <v>371</v>
      </c>
      <c r="AB85" s="738" t="s">
        <v>463</v>
      </c>
      <c r="AC85" s="732">
        <f>COUNT(U82,U92)</f>
        <v>2</v>
      </c>
      <c r="AD85" s="50">
        <v>672</v>
      </c>
      <c r="AE85" s="51">
        <v>89.736000000000004</v>
      </c>
      <c r="AF85" s="52">
        <f t="shared" si="20"/>
        <v>4.7033293134174342E-2</v>
      </c>
    </row>
    <row r="86" spans="1:32" ht="15" customHeight="1">
      <c r="A86" s="63"/>
      <c r="B86" s="42">
        <f t="shared" si="22"/>
        <v>540</v>
      </c>
      <c r="C86" s="569">
        <f>IF('Registro Original'!C86 = "", "", 'Registro Original'!C86)</f>
        <v>0.222</v>
      </c>
      <c r="D86" s="565" t="str">
        <f t="shared" si="23"/>
        <v/>
      </c>
      <c r="E86" s="42">
        <f t="shared" si="24"/>
        <v>538.5</v>
      </c>
      <c r="F86" s="569">
        <f>IF('Registro Original'!F86 = "", "", 'Registro Original'!F86)</f>
        <v>0.23100000000000001</v>
      </c>
      <c r="G86" s="36" t="str">
        <f t="shared" si="25"/>
        <v/>
      </c>
      <c r="H86" s="35"/>
      <c r="I86" s="35"/>
      <c r="J86" s="35"/>
      <c r="K86" s="35"/>
      <c r="L86" s="35"/>
      <c r="M86" s="35"/>
      <c r="S86" s="36"/>
      <c r="T86" s="22"/>
      <c r="U86" s="608">
        <v>3</v>
      </c>
      <c r="V86" s="610">
        <f t="shared" ref="V86:V87" si="28">Z85</f>
        <v>537.25249074221654</v>
      </c>
      <c r="W86" s="604">
        <f t="shared" ref="W86:W90" si="29" xml:space="preserve"> $U$82 + $V$82*(V86) + $W$82*(V86^2) + $X$82*(V86^3) + $Y$82*(V86^4) + $Z$82*(V86^5) + $AA$82*(V86^6)</f>
        <v>0.2960205078125</v>
      </c>
      <c r="X86" s="604">
        <f t="shared" ref="X86:X87" si="30" xml:space="preserve"> ($V$82 +  2*$W$82*(V86) +  3*$X$82*(V86^2) + 4*$Y$82*(V86^3) + 5*$Z$82*(V86^4) + 6*$AA$82*(V86^5))</f>
        <v>0</v>
      </c>
      <c r="Y86" s="617">
        <f t="shared" ref="Y86:Y87" si="31" xml:space="preserve"> (2*$W$82 + 6*$X$82*(V86) + 12*$Y$82*(V86^2) + 20*$Z$82*(V86^3) + 30*$AA$82*(V86^4))</f>
        <v>-2.5413773953914642E-2</v>
      </c>
      <c r="Z86" s="605">
        <f t="shared" ref="Z86:Z87" si="32">V86 - (X86/Y86)</f>
        <v>537.25249074221654</v>
      </c>
      <c r="AA86" s="637">
        <f xml:space="preserve"> ($V$82 +  2*$W$82*(AA84) +  3*$X$82*(AA84^2) + 4*$Y$82*(AA84^3) + 5*$Z$82*(AA84^4) + 6*$AA$82*(AA84^5))</f>
        <v>6.3419342041015625E-5</v>
      </c>
      <c r="AB86" s="739" t="s">
        <v>462</v>
      </c>
      <c r="AC86" s="634">
        <f>IF(AC84="", "", AC84/SQRT(AC85))</f>
        <v>0.10098955220271649</v>
      </c>
      <c r="AD86" s="50">
        <v>671.9</v>
      </c>
      <c r="AE86" s="51">
        <v>89.674999999999997</v>
      </c>
      <c r="AF86" s="52">
        <f t="shared" si="20"/>
        <v>4.732861465199583E-2</v>
      </c>
    </row>
    <row r="87" spans="1:32" ht="15" customHeight="1">
      <c r="A87" s="64"/>
      <c r="B87" s="42">
        <f t="shared" si="22"/>
        <v>539</v>
      </c>
      <c r="C87" s="569">
        <f>IF('Registro Original'!C87 = "", "", 'Registro Original'!C87)</f>
        <v>0.254</v>
      </c>
      <c r="D87" s="565" t="str">
        <f t="shared" si="23"/>
        <v/>
      </c>
      <c r="E87" s="42">
        <f t="shared" si="24"/>
        <v>538</v>
      </c>
      <c r="F87" s="569">
        <f>IF('Registro Original'!F87 = "", "", 'Registro Original'!F87)</f>
        <v>0.26200000000000001</v>
      </c>
      <c r="G87" s="36" t="str">
        <f t="shared" si="25"/>
        <v/>
      </c>
      <c r="H87" s="35"/>
      <c r="I87" s="35"/>
      <c r="J87" s="35"/>
      <c r="K87" s="35"/>
      <c r="L87" s="35"/>
      <c r="M87" s="36"/>
      <c r="S87" s="36"/>
      <c r="U87" s="608">
        <v>4</v>
      </c>
      <c r="V87" s="610">
        <f t="shared" si="28"/>
        <v>537.25249074221654</v>
      </c>
      <c r="W87" s="604">
        <f t="shared" si="29"/>
        <v>0.2960205078125</v>
      </c>
      <c r="X87" s="604">
        <f t="shared" si="30"/>
        <v>0</v>
      </c>
      <c r="Y87" s="617">
        <f t="shared" si="31"/>
        <v>-2.5413773953914642E-2</v>
      </c>
      <c r="Z87" s="605">
        <f t="shared" si="32"/>
        <v>537.25249074221654</v>
      </c>
      <c r="AA87" s="621"/>
      <c r="AD87" s="50">
        <v>671.8</v>
      </c>
      <c r="AE87" s="51">
        <v>89.628</v>
      </c>
      <c r="AF87" s="52">
        <f t="shared" si="20"/>
        <v>4.7556294513648463E-2</v>
      </c>
    </row>
    <row r="88" spans="1:32" ht="15" customHeight="1">
      <c r="A88" s="59" t="s">
        <v>338</v>
      </c>
      <c r="B88" s="42">
        <f>IF(ISNUMBER($G$45),B89+$G$45,"")</f>
        <v>538</v>
      </c>
      <c r="C88" s="569">
        <f>IF('Registro Original'!C88 = "", "", 'Registro Original'!C88)</f>
        <v>0.28199999999999997</v>
      </c>
      <c r="D88" s="565" t="str">
        <f t="shared" si="23"/>
        <v/>
      </c>
      <c r="E88" s="42">
        <f>IF(ISNUMBER($G$45),E89+$K$45,"")</f>
        <v>537.5</v>
      </c>
      <c r="F88" s="569">
        <f>IF('Registro Original'!F88 = "", "", 'Registro Original'!F88)</f>
        <v>0.28499999999999998</v>
      </c>
      <c r="G88" s="36">
        <f t="shared" si="25"/>
        <v>0.28499999999999998</v>
      </c>
      <c r="H88" s="35"/>
      <c r="I88" s="35"/>
      <c r="J88" s="35"/>
      <c r="K88" s="35"/>
      <c r="L88" s="35"/>
      <c r="M88" s="39"/>
      <c r="S88" s="36"/>
      <c r="T88" s="22"/>
      <c r="U88" s="608">
        <v>5</v>
      </c>
      <c r="V88" s="610">
        <f t="shared" ref="V88:V90" si="33">Z87</f>
        <v>537.25249074221654</v>
      </c>
      <c r="W88" s="604">
        <f t="shared" si="29"/>
        <v>0.2960205078125</v>
      </c>
      <c r="X88" s="604">
        <f t="shared" ref="X88:X90" si="34" xml:space="preserve"> ($V$82 +  2*$W$82*(V88) +  3*$X$82*(V88^2) + 4*$Y$82*(V88^3) + 5*$Z$82*(V88^4) + 6*$AA$82*(V88^5))</f>
        <v>0</v>
      </c>
      <c r="Y88" s="617">
        <f t="shared" ref="Y88:Y90" si="35" xml:space="preserve"> (2*$W$82 + 6*$X$82*(V88) + 12*$Y$82*(V88^2) + 20*$Z$82*(V88^3) + 30*$AA$82*(V88^4))</f>
        <v>-2.5413773953914642E-2</v>
      </c>
      <c r="Z88" s="605">
        <f t="shared" ref="Z88:Z90" si="36">V88 - (X88/Y88)</f>
        <v>537.25249074221654</v>
      </c>
      <c r="AA88" s="621"/>
      <c r="AD88" s="50">
        <v>671.7</v>
      </c>
      <c r="AE88" s="51">
        <v>89.620999999999995</v>
      </c>
      <c r="AF88" s="52">
        <f t="shared" si="20"/>
        <v>4.7590214495069491E-2</v>
      </c>
    </row>
    <row r="89" spans="1:32" ht="15" customHeight="1">
      <c r="A89" s="45">
        <v>536.82000000000005</v>
      </c>
      <c r="B89" s="122">
        <v>537</v>
      </c>
      <c r="C89" s="569">
        <f>IF('Registro Original'!C89 = "", "", 'Registro Original'!C89)</f>
        <v>0.28499999999999998</v>
      </c>
      <c r="D89" s="565">
        <f>IF(C89&lt;&gt;"",IF(C89 = LARGE($C$77:$C$101,1), C89, ""), "")</f>
        <v>0.28499999999999998</v>
      </c>
      <c r="E89" s="122">
        <v>537</v>
      </c>
      <c r="F89" s="569">
        <f>IF('Registro Original'!F89 = "", "", 'Registro Original'!F89)</f>
        <v>0.28199999999999997</v>
      </c>
      <c r="G89" s="36" t="str">
        <f>IF(F89 &lt;&gt;"", IF(F89 = LARGE($F$77:$F$101,1), F89, ""), "")</f>
        <v/>
      </c>
      <c r="H89" s="35"/>
      <c r="I89" s="35"/>
      <c r="J89" s="35"/>
      <c r="K89" s="35"/>
      <c r="L89" s="35"/>
      <c r="M89" s="40"/>
      <c r="S89" s="36"/>
      <c r="T89" s="36"/>
      <c r="U89" s="608">
        <v>6</v>
      </c>
      <c r="V89" s="610">
        <f t="shared" si="33"/>
        <v>537.25249074221654</v>
      </c>
      <c r="W89" s="604">
        <f t="shared" si="29"/>
        <v>0.2960205078125</v>
      </c>
      <c r="X89" s="604">
        <f t="shared" si="34"/>
        <v>0</v>
      </c>
      <c r="Y89" s="617">
        <f t="shared" si="35"/>
        <v>-2.5413773953914642E-2</v>
      </c>
      <c r="Z89" s="605">
        <f t="shared" si="36"/>
        <v>537.25249074221654</v>
      </c>
      <c r="AA89" s="621"/>
      <c r="AD89" s="50">
        <v>671.6</v>
      </c>
      <c r="AE89" s="51">
        <v>89.662999999999997</v>
      </c>
      <c r="AF89" s="52">
        <f t="shared" si="20"/>
        <v>4.7386734334278639E-2</v>
      </c>
    </row>
    <row r="90" spans="1:32" ht="15" customHeight="1">
      <c r="A90" s="63"/>
      <c r="B90" s="42">
        <f>IF(ISNUMBER($G$45),B89-$G$45,"")</f>
        <v>536</v>
      </c>
      <c r="C90" s="569">
        <f>IF('Registro Original'!C90 = "", "", 'Registro Original'!C90)</f>
        <v>0.27</v>
      </c>
      <c r="D90" s="565" t="str">
        <f t="shared" ref="D90:D101" si="37">IF(C90&lt;&gt;"",IF(C90 = LARGE($C$77:$C$101,1), C90, ""), "")</f>
        <v/>
      </c>
      <c r="E90" s="42">
        <f>IF(ISNUMBER($G$45),E89-$K$45,"")</f>
        <v>536.5</v>
      </c>
      <c r="F90" s="569">
        <f>IF('Registro Original'!F90 = "", "", 'Registro Original'!F90)</f>
        <v>0.26200000000000001</v>
      </c>
      <c r="G90" s="36" t="str">
        <f t="shared" ref="G90:G101" si="38">IF(F90 &lt;&gt;"", IF(F90 = LARGE($F$77:$F$101,1), F90, ""), "")</f>
        <v/>
      </c>
      <c r="H90" s="35"/>
      <c r="I90" s="35"/>
      <c r="J90" s="35"/>
      <c r="K90" s="35"/>
      <c r="L90" s="35"/>
      <c r="M90" s="35"/>
      <c r="S90" s="36"/>
      <c r="T90" s="36"/>
      <c r="U90" s="611">
        <v>7</v>
      </c>
      <c r="V90" s="657">
        <f t="shared" si="33"/>
        <v>537.25249074221654</v>
      </c>
      <c r="W90" s="612">
        <f t="shared" si="29"/>
        <v>0.2960205078125</v>
      </c>
      <c r="X90" s="612">
        <f t="shared" si="34"/>
        <v>0</v>
      </c>
      <c r="Y90" s="618">
        <f t="shared" si="35"/>
        <v>-2.5413773953914642E-2</v>
      </c>
      <c r="Z90" s="634">
        <f t="shared" si="36"/>
        <v>537.25249074221654</v>
      </c>
      <c r="AA90" s="622"/>
      <c r="AD90" s="50">
        <v>671.5</v>
      </c>
      <c r="AE90" s="51">
        <v>89.683000000000007</v>
      </c>
      <c r="AF90" s="52">
        <f t="shared" si="20"/>
        <v>4.72898725177444E-2</v>
      </c>
    </row>
    <row r="91" spans="1:32" ht="15" customHeight="1">
      <c r="A91" s="64"/>
      <c r="B91" s="42">
        <f t="shared" ref="B91:B101" si="39">IF(ISNUMBER($G$45),B90-$G$45,"")</f>
        <v>535</v>
      </c>
      <c r="C91" s="569">
        <f>IF('Registro Original'!C91 = "", "", 'Registro Original'!C91)</f>
        <v>0.23300000000000001</v>
      </c>
      <c r="D91" s="565" t="str">
        <f t="shared" si="37"/>
        <v/>
      </c>
      <c r="E91" s="42">
        <f t="shared" ref="E91:E101" si="40">IF(ISNUMBER($G$45),E90-$K$45,"")</f>
        <v>536</v>
      </c>
      <c r="F91" s="569">
        <f>IF('Registro Original'!F91 = "", "", 'Registro Original'!F91)</f>
        <v>0.222</v>
      </c>
      <c r="G91" s="36" t="str">
        <f t="shared" si="38"/>
        <v/>
      </c>
      <c r="H91" s="35"/>
      <c r="I91" s="35"/>
      <c r="J91" s="35"/>
      <c r="K91" s="35"/>
      <c r="L91" s="35"/>
      <c r="M91" s="36"/>
      <c r="S91" s="36"/>
      <c r="T91" s="36"/>
      <c r="U91" s="614" t="s">
        <v>359</v>
      </c>
      <c r="V91" s="615" t="s">
        <v>360</v>
      </c>
      <c r="W91" s="615" t="s">
        <v>361</v>
      </c>
      <c r="X91" s="615" t="s">
        <v>362</v>
      </c>
      <c r="Y91" s="615" t="s">
        <v>363</v>
      </c>
      <c r="Z91" s="615" t="s">
        <v>364</v>
      </c>
      <c r="AA91" s="616" t="s">
        <v>365</v>
      </c>
      <c r="AB91" s="735" t="s">
        <v>458</v>
      </c>
      <c r="AC91" s="736">
        <f>IF(U92="","",IF(AA92&lt;&gt;0, 6,5))</f>
        <v>6</v>
      </c>
      <c r="AD91" s="50">
        <v>671.4</v>
      </c>
      <c r="AE91" s="51">
        <v>89.570999999999998</v>
      </c>
      <c r="AF91" s="52">
        <f t="shared" si="20"/>
        <v>4.7832577152539857E-2</v>
      </c>
    </row>
    <row r="92" spans="1:32" ht="15" customHeight="1">
      <c r="A92" s="61"/>
      <c r="B92" s="42">
        <f t="shared" si="39"/>
        <v>534</v>
      </c>
      <c r="C92" s="569">
        <f>IF('Registro Original'!C92 = "", "", 'Registro Original'!C92)</f>
        <v>0.19600000000000001</v>
      </c>
      <c r="D92" s="565" t="str">
        <f t="shared" si="37"/>
        <v/>
      </c>
      <c r="E92" s="42">
        <f t="shared" si="40"/>
        <v>535.5</v>
      </c>
      <c r="F92" s="569">
        <f>IF('Registro Original'!F92 = "", "", 'Registro Original'!F92)</f>
        <v>0.185</v>
      </c>
      <c r="G92" s="36" t="str">
        <f t="shared" si="38"/>
        <v/>
      </c>
      <c r="H92" s="35"/>
      <c r="I92" s="35"/>
      <c r="J92" s="35"/>
      <c r="K92" s="35"/>
      <c r="L92" s="35"/>
      <c r="M92" s="35"/>
      <c r="S92" s="22"/>
      <c r="T92" s="22"/>
      <c r="U92" s="633">
        <v>-141906150289.215</v>
      </c>
      <c r="V92" s="612">
        <v>1585980275.8654201</v>
      </c>
      <c r="W92" s="612">
        <v>-7385421.6108381702</v>
      </c>
      <c r="X92" s="612">
        <v>18341.875236636999</v>
      </c>
      <c r="Y92" s="618">
        <v>-25.6228197429819</v>
      </c>
      <c r="Z92" s="612">
        <v>1.9089786334936E-2</v>
      </c>
      <c r="AA92" s="641">
        <v>-5.9259259290733698E-6</v>
      </c>
      <c r="AB92" s="737" t="s">
        <v>459</v>
      </c>
      <c r="AC92" s="732">
        <f>IF(AC91="", "",AC91 +1)</f>
        <v>7</v>
      </c>
      <c r="AD92" s="50">
        <v>671.3</v>
      </c>
      <c r="AE92" s="51">
        <v>89.510999999999996</v>
      </c>
      <c r="AF92" s="52">
        <f t="shared" si="20"/>
        <v>4.8123590988539182E-2</v>
      </c>
    </row>
    <row r="93" spans="1:32" ht="15" customHeight="1">
      <c r="A93" s="61"/>
      <c r="B93" s="42">
        <f t="shared" si="39"/>
        <v>533</v>
      </c>
      <c r="C93" s="569">
        <f>IF('Registro Original'!C93 = "", "", 'Registro Original'!C93)</f>
        <v>0.159</v>
      </c>
      <c r="D93" s="565" t="str">
        <f t="shared" si="37"/>
        <v/>
      </c>
      <c r="E93" s="42">
        <f t="shared" si="40"/>
        <v>535</v>
      </c>
      <c r="F93" s="569">
        <f>IF('Registro Original'!F93 = "", "", 'Registro Original'!F93)</f>
        <v>0.14899999999999999</v>
      </c>
      <c r="G93" s="36" t="str">
        <f t="shared" si="38"/>
        <v/>
      </c>
      <c r="H93" s="35"/>
      <c r="I93" s="35"/>
      <c r="J93" s="35"/>
      <c r="K93" s="35"/>
      <c r="L93" s="35"/>
      <c r="M93" s="35"/>
      <c r="S93" s="22"/>
      <c r="T93" s="22"/>
      <c r="U93" s="606" t="s">
        <v>373</v>
      </c>
      <c r="V93" s="607" t="s">
        <v>369</v>
      </c>
      <c r="W93" s="601" t="s">
        <v>375</v>
      </c>
      <c r="X93" s="601" t="s">
        <v>367</v>
      </c>
      <c r="Y93" s="601" t="s">
        <v>368</v>
      </c>
      <c r="Z93" s="623" t="s">
        <v>370</v>
      </c>
      <c r="AA93" s="636" t="s">
        <v>369</v>
      </c>
      <c r="AB93" s="737" t="s">
        <v>460</v>
      </c>
      <c r="AC93" s="605">
        <f xml:space="preserve"> 0.999494323769059</f>
        <v>0.999494323769059</v>
      </c>
      <c r="AD93" s="50">
        <v>671.2</v>
      </c>
      <c r="AE93" s="51">
        <v>89.501000000000005</v>
      </c>
      <c r="AF93" s="52">
        <f t="shared" si="20"/>
        <v>4.8172112258884688E-2</v>
      </c>
    </row>
    <row r="94" spans="1:32" ht="15" customHeight="1">
      <c r="A94" s="61"/>
      <c r="B94" s="42">
        <f t="shared" si="39"/>
        <v>532</v>
      </c>
      <c r="C94" s="569">
        <f>IF('Registro Original'!C94 = "", "", 'Registro Original'!C94)</f>
        <v>0.11700000000000001</v>
      </c>
      <c r="D94" s="565" t="str">
        <f t="shared" si="37"/>
        <v/>
      </c>
      <c r="E94" s="42">
        <f t="shared" si="40"/>
        <v>534.5</v>
      </c>
      <c r="F94" s="569">
        <f>IF('Registro Original'!F94 = "", "", 'Registro Original'!F94)</f>
        <v>0.109</v>
      </c>
      <c r="G94" s="36" t="str">
        <f t="shared" si="38"/>
        <v/>
      </c>
      <c r="H94" s="35"/>
      <c r="I94" s="35"/>
      <c r="J94" s="35"/>
      <c r="K94" s="35"/>
      <c r="L94" s="35"/>
      <c r="M94" s="35"/>
      <c r="S94" s="22"/>
      <c r="T94" s="22"/>
      <c r="U94" s="608">
        <v>1</v>
      </c>
      <c r="V94" s="642">
        <v>537.6</v>
      </c>
      <c r="W94" s="604">
        <f xml:space="preserve"> $U$92 + $V$92*(V94) + $W$92*(V94^2) + $X$92*(V94^3) + $Y$92*(V94^4) + $Z$92*(V94^5) + $AA$92*(V94^6)</f>
        <v>0.293792724609375</v>
      </c>
      <c r="X94" s="604">
        <f xml:space="preserve"> ($V$92 +  2*$W$92*(V94) +  3*$X$92*(V94^2) + 4*$Y$92*(V94^3) + 5*$Z$92*(V94^4) + 6*$AA$92*(V94^5))</f>
        <v>-2.6934146881103516E-3</v>
      </c>
      <c r="Y94" s="617">
        <f xml:space="preserve"> (2*$W$92 + 6*$X$92*(V94) + 12*$Y$92*(V94^2) + 20*$Z$92*(V94^3) + 30*$AA$92*(V94^4))</f>
        <v>-2.369694784283638E-2</v>
      </c>
      <c r="Z94" s="605">
        <f>V94 - (X94/Y94)</f>
        <v>537.48633917304574</v>
      </c>
      <c r="AA94" s="639">
        <v>537.48739037059124</v>
      </c>
      <c r="AB94" s="738" t="s">
        <v>461</v>
      </c>
      <c r="AC94" s="605">
        <f>IF(AC93="",  "", SQRT(AC93)/(AC92))</f>
        <v>0.14282101855898416</v>
      </c>
      <c r="AD94" s="50">
        <v>671.1</v>
      </c>
      <c r="AE94" s="51">
        <v>89.504999999999995</v>
      </c>
      <c r="AF94" s="52">
        <f t="shared" si="20"/>
        <v>4.8152703100220795E-2</v>
      </c>
    </row>
    <row r="95" spans="1:32" ht="15" customHeight="1">
      <c r="A95" s="590" t="s">
        <v>351</v>
      </c>
      <c r="B95" s="42">
        <f t="shared" si="39"/>
        <v>531</v>
      </c>
      <c r="C95" s="569">
        <f>IF('Registro Original'!C95 = "", "", 'Registro Original'!C95)</f>
        <v>9.2999999999999999E-2</v>
      </c>
      <c r="D95" s="565" t="str">
        <f t="shared" si="37"/>
        <v/>
      </c>
      <c r="E95" s="42">
        <f t="shared" si="40"/>
        <v>534</v>
      </c>
      <c r="F95" s="569">
        <f>IF('Registro Original'!F95 = "", "", 'Registro Original'!F95)</f>
        <v>8.7999999999999995E-2</v>
      </c>
      <c r="G95" s="36" t="str">
        <f t="shared" si="38"/>
        <v/>
      </c>
      <c r="H95" s="35"/>
      <c r="I95" s="35"/>
      <c r="J95" s="35"/>
      <c r="K95" s="35"/>
      <c r="L95" s="35"/>
      <c r="M95" s="35"/>
      <c r="S95" s="22"/>
      <c r="T95" s="22"/>
      <c r="U95" s="608">
        <v>2</v>
      </c>
      <c r="V95" s="610">
        <f>Z94</f>
        <v>537.48633917304574</v>
      </c>
      <c r="W95" s="604">
        <f t="shared" ref="W95:W100" si="41" xml:space="preserve"> $U$92 + $V$92*(V95) + $W$92*(V95^2) + $X$92*(V95^3) + $Y$92*(V95^4) + $Z$92*(V95^5) + $AA$92*(V95^6)</f>
        <v>0.293853759765625</v>
      </c>
      <c r="X95" s="604">
        <f t="shared" ref="X95:X100" si="42" xml:space="preserve"> ($V$92 +  2*$W$92*(V95) +  3*$X$92*(V95^2) + 4*$Y$92*(V95^3) + 5*$Z$92*(V95^4) + 6*$AA$92*(V95^5))</f>
        <v>2.4318695068359375E-5</v>
      </c>
      <c r="Y95" s="617">
        <f t="shared" ref="Y95:Y100" si="43" xml:space="preserve"> (2*$W$92 + 6*$X$92*(V95) + 12*$Y$92*(V95^2) + 20*$Z$92*(V95^3) + 30*$AA$92*(V95^4))</f>
        <v>-2.4063436314463615E-2</v>
      </c>
      <c r="Z95" s="605">
        <f t="shared" ref="Z95:Z100" si="44">V95 - (X95/Y95)</f>
        <v>537.48734978078903</v>
      </c>
      <c r="AA95" s="620" t="s">
        <v>371</v>
      </c>
      <c r="AB95" s="738" t="s">
        <v>463</v>
      </c>
      <c r="AC95" s="732">
        <f>COUNT(U82,U92)</f>
        <v>2</v>
      </c>
      <c r="AD95" s="50">
        <v>671</v>
      </c>
      <c r="AE95" s="51">
        <v>89.436999999999998</v>
      </c>
      <c r="AF95" s="52">
        <f t="shared" si="20"/>
        <v>4.8482776824566975E-2</v>
      </c>
    </row>
    <row r="96" spans="1:32" ht="15" customHeight="1">
      <c r="A96" s="61"/>
      <c r="B96" s="42">
        <f t="shared" si="39"/>
        <v>530</v>
      </c>
      <c r="C96" s="569" t="str">
        <f>IF('Registro Original'!C96 = "", "", 'Registro Original'!C96)</f>
        <v/>
      </c>
      <c r="D96" s="565" t="str">
        <f t="shared" si="37"/>
        <v/>
      </c>
      <c r="E96" s="42">
        <f t="shared" si="40"/>
        <v>533.5</v>
      </c>
      <c r="F96" s="569">
        <f>IF('Registro Original'!F96 = "", "", 'Registro Original'!F96)</f>
        <v>7.4999999999999997E-2</v>
      </c>
      <c r="G96" s="36" t="str">
        <f t="shared" si="38"/>
        <v/>
      </c>
      <c r="H96" s="35"/>
      <c r="I96" s="35"/>
      <c r="J96" s="35"/>
      <c r="K96" s="35"/>
      <c r="L96" s="35"/>
      <c r="M96" s="35"/>
      <c r="S96" s="22"/>
      <c r="T96" s="22"/>
      <c r="U96" s="608">
        <v>3</v>
      </c>
      <c r="V96" s="610">
        <f t="shared" ref="V96:V100" si="45">Z95</f>
        <v>537.48734978078903</v>
      </c>
      <c r="W96" s="604">
        <f t="shared" si="41"/>
        <v>0.2940673828125</v>
      </c>
      <c r="X96" s="604">
        <f t="shared" si="42"/>
        <v>0</v>
      </c>
      <c r="Y96" s="617">
        <f t="shared" si="43"/>
        <v>-2.4060750380158424E-2</v>
      </c>
      <c r="Z96" s="605">
        <f t="shared" si="44"/>
        <v>537.48734978078903</v>
      </c>
      <c r="AA96" s="637">
        <f xml:space="preserve"> ($V$92 +  2*$W$92*(AA94) +  3*$X$92*(AA94^2) + 4*$Y$92*(AA94^3) + 5*$Z$92*(AA94^4) + 6*$AA$92*(AA94^5))</f>
        <v>0</v>
      </c>
      <c r="AB96" s="739" t="s">
        <v>462</v>
      </c>
      <c r="AC96" s="634">
        <f>IF(AC94="", "", AC94/SQRT(AC95))</f>
        <v>0.10098971071902745</v>
      </c>
      <c r="AD96" s="50">
        <v>670.9</v>
      </c>
      <c r="AE96" s="51">
        <v>89.358000000000004</v>
      </c>
      <c r="AF96" s="52">
        <f t="shared" si="20"/>
        <v>4.8866560110487407E-2</v>
      </c>
    </row>
    <row r="97" spans="1:94" ht="15" customHeight="1">
      <c r="A97" s="61"/>
      <c r="B97" s="42">
        <f t="shared" si="39"/>
        <v>529</v>
      </c>
      <c r="C97" s="569" t="str">
        <f>IF('Registro Original'!C97 = "", "", 'Registro Original'!C97)</f>
        <v/>
      </c>
      <c r="D97" s="565" t="str">
        <f t="shared" si="37"/>
        <v/>
      </c>
      <c r="E97" s="42">
        <f t="shared" si="40"/>
        <v>533</v>
      </c>
      <c r="F97" s="569" t="str">
        <f>IF('Registro Original'!F97 = "", "", 'Registro Original'!F97)</f>
        <v/>
      </c>
      <c r="G97" s="36" t="str">
        <f t="shared" si="38"/>
        <v/>
      </c>
      <c r="H97" s="35"/>
      <c r="I97" s="35"/>
      <c r="J97" s="35"/>
      <c r="K97" s="35"/>
      <c r="L97" s="35"/>
      <c r="M97" s="35"/>
      <c r="S97" s="22"/>
      <c r="T97" s="22"/>
      <c r="U97" s="608">
        <v>4</v>
      </c>
      <c r="V97" s="610">
        <f t="shared" si="45"/>
        <v>537.48734978078903</v>
      </c>
      <c r="W97" s="604">
        <f t="shared" si="41"/>
        <v>0.2940673828125</v>
      </c>
      <c r="X97" s="604">
        <f t="shared" si="42"/>
        <v>0</v>
      </c>
      <c r="Y97" s="617">
        <f t="shared" si="43"/>
        <v>-2.4060750380158424E-2</v>
      </c>
      <c r="Z97" s="605">
        <f t="shared" si="44"/>
        <v>537.48734978078903</v>
      </c>
      <c r="AA97" s="621"/>
      <c r="AD97" s="50">
        <v>670.8</v>
      </c>
      <c r="AE97" s="51">
        <v>89.263999999999996</v>
      </c>
      <c r="AF97" s="52">
        <f t="shared" si="20"/>
        <v>4.9323655933706044E-2</v>
      </c>
    </row>
    <row r="98" spans="1:94" ht="15" customHeight="1">
      <c r="A98" s="61"/>
      <c r="B98" s="42">
        <f t="shared" si="39"/>
        <v>528</v>
      </c>
      <c r="C98" s="569" t="str">
        <f>IF('Registro Original'!C98 = "", "", 'Registro Original'!C98)</f>
        <v/>
      </c>
      <c r="D98" s="565" t="str">
        <f t="shared" si="37"/>
        <v/>
      </c>
      <c r="E98" s="42">
        <f t="shared" si="40"/>
        <v>532.5</v>
      </c>
      <c r="F98" s="569" t="str">
        <f>IF('Registro Original'!F98 = "", "", 'Registro Original'!F98)</f>
        <v/>
      </c>
      <c r="G98" s="36" t="str">
        <f t="shared" si="38"/>
        <v/>
      </c>
      <c r="H98" s="35"/>
      <c r="I98" s="35"/>
      <c r="J98" s="35"/>
      <c r="K98" s="35"/>
      <c r="L98" s="35"/>
      <c r="M98" s="35"/>
      <c r="S98" s="22"/>
      <c r="T98" s="22"/>
      <c r="U98" s="608">
        <v>5</v>
      </c>
      <c r="V98" s="610">
        <f t="shared" si="45"/>
        <v>537.48734978078903</v>
      </c>
      <c r="W98" s="604">
        <f t="shared" si="41"/>
        <v>0.2940673828125</v>
      </c>
      <c r="X98" s="604">
        <f t="shared" si="42"/>
        <v>0</v>
      </c>
      <c r="Y98" s="617">
        <f t="shared" si="43"/>
        <v>-2.4060750380158424E-2</v>
      </c>
      <c r="Z98" s="605">
        <f t="shared" si="44"/>
        <v>537.48734978078903</v>
      </c>
      <c r="AA98" s="621"/>
      <c r="AD98" s="50">
        <v>670.7</v>
      </c>
      <c r="AE98" s="51">
        <v>89.197999999999993</v>
      </c>
      <c r="AF98" s="52">
        <f t="shared" si="20"/>
        <v>4.9644883277481212E-2</v>
      </c>
    </row>
    <row r="99" spans="1:94" ht="15" customHeight="1">
      <c r="A99" s="61"/>
      <c r="B99" s="42">
        <f t="shared" si="39"/>
        <v>527</v>
      </c>
      <c r="C99" s="569" t="str">
        <f>IF('Registro Original'!C99 = "", "", 'Registro Original'!C99)</f>
        <v/>
      </c>
      <c r="D99" s="565" t="str">
        <f t="shared" si="37"/>
        <v/>
      </c>
      <c r="E99" s="42">
        <f t="shared" si="40"/>
        <v>532</v>
      </c>
      <c r="F99" s="569" t="str">
        <f>IF('Registro Original'!F99 = "", "", 'Registro Original'!F99)</f>
        <v/>
      </c>
      <c r="G99" s="36" t="str">
        <f t="shared" si="38"/>
        <v/>
      </c>
      <c r="H99" s="35"/>
      <c r="I99" s="35"/>
      <c r="J99" s="35"/>
      <c r="K99" s="35"/>
      <c r="L99" s="35"/>
      <c r="M99" s="35"/>
      <c r="S99" s="22"/>
      <c r="T99" s="22"/>
      <c r="U99" s="608">
        <v>6</v>
      </c>
      <c r="V99" s="610">
        <f t="shared" si="45"/>
        <v>537.48734978078903</v>
      </c>
      <c r="W99" s="604">
        <f t="shared" si="41"/>
        <v>0.2940673828125</v>
      </c>
      <c r="X99" s="604">
        <f t="shared" si="42"/>
        <v>0</v>
      </c>
      <c r="Y99" s="617">
        <f t="shared" si="43"/>
        <v>-2.4060750380158424E-2</v>
      </c>
      <c r="Z99" s="605">
        <f t="shared" si="44"/>
        <v>537.48734978078903</v>
      </c>
      <c r="AA99" s="621"/>
      <c r="AD99" s="50">
        <v>670.6</v>
      </c>
      <c r="AE99" s="51">
        <v>89.203000000000003</v>
      </c>
      <c r="AF99" s="52">
        <f t="shared" si="20"/>
        <v>4.9620539552837413E-2</v>
      </c>
    </row>
    <row r="100" spans="1:94" ht="15" customHeight="1">
      <c r="A100" s="60"/>
      <c r="B100" s="42">
        <f t="shared" si="39"/>
        <v>526</v>
      </c>
      <c r="C100" s="569" t="str">
        <f>IF('Registro Original'!C100 = "", "", 'Registro Original'!C100)</f>
        <v/>
      </c>
      <c r="D100" s="565" t="str">
        <f t="shared" si="37"/>
        <v/>
      </c>
      <c r="E100" s="42">
        <f t="shared" si="40"/>
        <v>531.5</v>
      </c>
      <c r="F100" s="569" t="str">
        <f>IF('Registro Original'!F100 = "", "", 'Registro Original'!F100)</f>
        <v/>
      </c>
      <c r="G100" s="36" t="str">
        <f t="shared" si="38"/>
        <v/>
      </c>
      <c r="H100" s="35"/>
      <c r="I100" s="35"/>
      <c r="J100" s="35"/>
      <c r="K100" s="35"/>
      <c r="L100" s="35"/>
      <c r="M100" s="36"/>
      <c r="S100" s="22"/>
      <c r="T100" s="22"/>
      <c r="U100" s="611">
        <v>7</v>
      </c>
      <c r="V100" s="658">
        <f t="shared" si="45"/>
        <v>537.48734978078903</v>
      </c>
      <c r="W100" s="612">
        <f t="shared" si="41"/>
        <v>0.2940673828125</v>
      </c>
      <c r="X100" s="612">
        <f t="shared" si="42"/>
        <v>0</v>
      </c>
      <c r="Y100" s="618">
        <f t="shared" si="43"/>
        <v>-2.4060750380158424E-2</v>
      </c>
      <c r="Z100" s="634">
        <f t="shared" si="44"/>
        <v>537.48734978078903</v>
      </c>
      <c r="AA100" s="622"/>
      <c r="AD100" s="50">
        <v>670.5</v>
      </c>
      <c r="AE100" s="51">
        <v>89.147999999999996</v>
      </c>
      <c r="AF100" s="52">
        <f t="shared" si="20"/>
        <v>4.9888395603679435E-2</v>
      </c>
    </row>
    <row r="101" spans="1:94" ht="15" customHeight="1" thickBot="1">
      <c r="A101" s="43"/>
      <c r="B101" s="47">
        <f t="shared" si="39"/>
        <v>525</v>
      </c>
      <c r="C101" s="572" t="str">
        <f>IF('Registro Original'!C101 = "", "", 'Registro Original'!C101)</f>
        <v/>
      </c>
      <c r="D101" s="566" t="str">
        <f t="shared" si="37"/>
        <v/>
      </c>
      <c r="E101" s="47">
        <f t="shared" si="40"/>
        <v>531</v>
      </c>
      <c r="F101" s="570" t="str">
        <f>IF('Registro Original'!F101 = "", "", 'Registro Original'!F101)</f>
        <v/>
      </c>
      <c r="G101" s="36" t="str">
        <f t="shared" si="38"/>
        <v/>
      </c>
      <c r="H101" s="35"/>
      <c r="I101" s="35"/>
      <c r="J101" s="35"/>
      <c r="K101" s="35"/>
      <c r="L101" s="35"/>
      <c r="M101" s="41"/>
      <c r="AD101" s="50">
        <v>670.4</v>
      </c>
      <c r="AE101" s="51">
        <v>89.069000000000003</v>
      </c>
      <c r="AF101" s="52">
        <f t="shared" si="20"/>
        <v>5.0273423589983518E-2</v>
      </c>
    </row>
    <row r="102" spans="1:94" ht="15" customHeight="1" thickTop="1">
      <c r="A102" s="60"/>
      <c r="B102" s="44">
        <f t="shared" ref="B102:B112" si="46">IF(ISNUMBER($G$45),B103+$G$45,"")</f>
        <v>472</v>
      </c>
      <c r="C102" s="567" t="str">
        <f>IF('Registro Original'!C102 = "", "", 'Registro Original'!C102)</f>
        <v/>
      </c>
      <c r="D102" s="565" t="str">
        <f t="shared" ref="D102:D113" si="47">IF(C102&lt;&gt;"",IF(C102 = LARGE($C$102:$C$126,1), C102, ""), "")</f>
        <v/>
      </c>
      <c r="E102" s="42">
        <f t="shared" ref="E102:E112" si="48">IF(ISNUMBER($G$45),E103+$K$45,"")</f>
        <v>466</v>
      </c>
      <c r="F102" s="568" t="str">
        <f>IF('Registro Original'!F102 = "", "", 'Registro Original'!F102)</f>
        <v/>
      </c>
      <c r="G102" s="36" t="str">
        <f t="shared" ref="G102:G113" si="49">IF(F102 &lt;&gt;"", IF(F102 = LARGE($F$102:$F$126,1), F102, ""), "")</f>
        <v/>
      </c>
      <c r="I102" s="35"/>
      <c r="J102" s="35"/>
      <c r="K102" s="35"/>
      <c r="L102" s="35"/>
      <c r="M102" s="36"/>
      <c r="U102" s="103" t="s">
        <v>88</v>
      </c>
      <c r="V102" s="104" t="s">
        <v>89</v>
      </c>
      <c r="W102" s="105" t="s">
        <v>90</v>
      </c>
      <c r="X102" s="104" t="s">
        <v>91</v>
      </c>
      <c r="Y102" s="106" t="s">
        <v>96</v>
      </c>
      <c r="Z102" s="626" t="s">
        <v>378</v>
      </c>
      <c r="AA102" s="627" t="s">
        <v>379</v>
      </c>
      <c r="AB102" s="627" t="s">
        <v>380</v>
      </c>
      <c r="AC102" s="632" t="s">
        <v>381</v>
      </c>
      <c r="AD102" s="50">
        <v>670.3</v>
      </c>
      <c r="AE102" s="51">
        <v>88.986999999999995</v>
      </c>
      <c r="AF102" s="52">
        <f t="shared" si="20"/>
        <v>5.0673434261162206E-2</v>
      </c>
    </row>
    <row r="103" spans="1:94" ht="15" customHeight="1" thickBot="1">
      <c r="A103" s="60"/>
      <c r="B103" s="42">
        <f t="shared" si="46"/>
        <v>471</v>
      </c>
      <c r="C103" s="569" t="str">
        <f>IF('Registro Original'!C103 = "", "", 'Registro Original'!C103)</f>
        <v/>
      </c>
      <c r="D103" s="565" t="str">
        <f t="shared" si="47"/>
        <v/>
      </c>
      <c r="E103" s="42">
        <f t="shared" si="48"/>
        <v>465.5</v>
      </c>
      <c r="F103" s="569" t="str">
        <f>IF('Registro Original'!F103 = "", "", 'Registro Original'!F103)</f>
        <v/>
      </c>
      <c r="G103" s="36" t="str">
        <f t="shared" si="49"/>
        <v/>
      </c>
      <c r="I103" s="35"/>
      <c r="J103" s="35"/>
      <c r="K103" s="35"/>
      <c r="L103" s="35"/>
      <c r="M103" s="36"/>
      <c r="U103" s="644">
        <v>456.9</v>
      </c>
      <c r="V103" s="643">
        <v>0.56410000000000005</v>
      </c>
      <c r="W103" s="645">
        <v>460.1</v>
      </c>
      <c r="X103" s="643">
        <v>1.2799</v>
      </c>
      <c r="Y103" s="646">
        <f>(V103 + X103)/2</f>
        <v>0.92200000000000004</v>
      </c>
      <c r="Z103" s="630">
        <f>AC103 - AB103</f>
        <v>3</v>
      </c>
      <c r="AA103" s="628">
        <f>X103 - Y103</f>
        <v>0.3579</v>
      </c>
      <c r="AB103" s="629">
        <v>458.7</v>
      </c>
      <c r="AC103" s="631">
        <v>461.7</v>
      </c>
      <c r="AD103" s="50">
        <v>670.2</v>
      </c>
      <c r="AE103" s="51">
        <v>88.963999999999999</v>
      </c>
      <c r="AF103" s="52">
        <f t="shared" si="20"/>
        <v>5.0785698571443064E-2</v>
      </c>
    </row>
    <row r="104" spans="1:94" ht="15" customHeight="1" thickBot="1">
      <c r="A104" s="60"/>
      <c r="B104" s="42">
        <f t="shared" si="46"/>
        <v>470</v>
      </c>
      <c r="C104" s="569" t="str">
        <f>IF('Registro Original'!C104 = "", "", 'Registro Original'!C104)</f>
        <v/>
      </c>
      <c r="D104" s="565" t="str">
        <f t="shared" si="47"/>
        <v/>
      </c>
      <c r="E104" s="42">
        <f t="shared" si="48"/>
        <v>465</v>
      </c>
      <c r="F104" s="569" t="str">
        <f>IF('Registro Original'!F104 = "", "", 'Registro Original'!F104)</f>
        <v/>
      </c>
      <c r="G104" s="36" t="str">
        <f t="shared" si="49"/>
        <v/>
      </c>
      <c r="I104" s="35"/>
      <c r="J104" s="35"/>
      <c r="K104" s="35"/>
      <c r="L104" s="35"/>
      <c r="M104" s="36"/>
      <c r="AD104" s="50">
        <v>670.1</v>
      </c>
      <c r="AE104" s="51">
        <v>88.876000000000005</v>
      </c>
      <c r="AF104" s="52">
        <f t="shared" si="20"/>
        <v>5.1215499713219384E-2</v>
      </c>
      <c r="AG104" s="746" t="s">
        <v>95</v>
      </c>
      <c r="AH104" s="473">
        <v>453.9</v>
      </c>
      <c r="AI104" s="473">
        <f t="shared" ref="AI104:CP104" si="50">AH104+0.2</f>
        <v>454.09999999999997</v>
      </c>
      <c r="AJ104" s="473">
        <f t="shared" si="50"/>
        <v>454.29999999999995</v>
      </c>
      <c r="AK104" s="473">
        <f t="shared" si="50"/>
        <v>454.49999999999994</v>
      </c>
      <c r="AL104" s="473">
        <f t="shared" si="50"/>
        <v>454.69999999999993</v>
      </c>
      <c r="AM104" s="473">
        <f t="shared" si="50"/>
        <v>454.89999999999992</v>
      </c>
      <c r="AN104" s="473">
        <f t="shared" si="50"/>
        <v>455.09999999999991</v>
      </c>
      <c r="AO104" s="473">
        <f t="shared" si="50"/>
        <v>455.2999999999999</v>
      </c>
      <c r="AP104" s="473">
        <f t="shared" si="50"/>
        <v>455.49999999999989</v>
      </c>
      <c r="AQ104" s="473">
        <f t="shared" si="50"/>
        <v>455.69999999999987</v>
      </c>
      <c r="AR104" s="473">
        <f t="shared" si="50"/>
        <v>455.89999999999986</v>
      </c>
      <c r="AS104" s="473">
        <f t="shared" si="50"/>
        <v>456.09999999999985</v>
      </c>
      <c r="AT104" s="473">
        <f t="shared" si="50"/>
        <v>456.29999999999984</v>
      </c>
      <c r="AU104" s="473">
        <f t="shared" si="50"/>
        <v>456.49999999999983</v>
      </c>
      <c r="AV104" s="473">
        <f t="shared" si="50"/>
        <v>456.69999999999982</v>
      </c>
      <c r="AW104" s="473">
        <f t="shared" si="50"/>
        <v>456.89999999999981</v>
      </c>
      <c r="AX104" s="473">
        <f t="shared" si="50"/>
        <v>457.0999999999998</v>
      </c>
      <c r="AY104" s="473">
        <f t="shared" si="50"/>
        <v>457.29999999999978</v>
      </c>
      <c r="AZ104" s="473">
        <f t="shared" si="50"/>
        <v>457.49999999999977</v>
      </c>
      <c r="BA104" s="473">
        <f t="shared" si="50"/>
        <v>457.69999999999976</v>
      </c>
      <c r="BB104" s="473">
        <f t="shared" si="50"/>
        <v>457.89999999999975</v>
      </c>
      <c r="BC104" s="473">
        <f t="shared" si="50"/>
        <v>458.09999999999974</v>
      </c>
      <c r="BD104" s="473">
        <f t="shared" si="50"/>
        <v>458.29999999999973</v>
      </c>
      <c r="BE104" s="473">
        <f t="shared" si="50"/>
        <v>458.49999999999972</v>
      </c>
      <c r="BF104" s="473">
        <f t="shared" si="50"/>
        <v>458.6999999999997</v>
      </c>
      <c r="BG104" s="473">
        <f t="shared" si="50"/>
        <v>458.89999999999969</v>
      </c>
      <c r="BH104" s="473">
        <f t="shared" si="50"/>
        <v>459.09999999999968</v>
      </c>
      <c r="BI104" s="473">
        <f t="shared" si="50"/>
        <v>459.29999999999967</v>
      </c>
      <c r="BJ104" s="473">
        <f t="shared" si="50"/>
        <v>459.49999999999966</v>
      </c>
      <c r="BK104" s="473">
        <f t="shared" si="50"/>
        <v>459.69999999999965</v>
      </c>
      <c r="BL104" s="473">
        <f t="shared" si="50"/>
        <v>459.89999999999964</v>
      </c>
      <c r="BM104" s="473">
        <f t="shared" si="50"/>
        <v>460.09999999999962</v>
      </c>
      <c r="BN104" s="473">
        <f t="shared" si="50"/>
        <v>460.29999999999961</v>
      </c>
      <c r="BO104" s="473">
        <f t="shared" si="50"/>
        <v>460.4999999999996</v>
      </c>
      <c r="BP104" s="473">
        <f t="shared" si="50"/>
        <v>460.69999999999959</v>
      </c>
      <c r="BQ104" s="473">
        <f t="shared" si="50"/>
        <v>460.89999999999958</v>
      </c>
      <c r="BR104" s="473">
        <f t="shared" si="50"/>
        <v>461.09999999999957</v>
      </c>
      <c r="BS104" s="473">
        <f t="shared" si="50"/>
        <v>461.29999999999956</v>
      </c>
      <c r="BT104" s="473">
        <f t="shared" si="50"/>
        <v>461.49999999999955</v>
      </c>
      <c r="BU104" s="473">
        <f t="shared" si="50"/>
        <v>461.69999999999953</v>
      </c>
      <c r="BV104" s="473">
        <f t="shared" si="50"/>
        <v>461.89999999999952</v>
      </c>
      <c r="BW104" s="473">
        <f t="shared" si="50"/>
        <v>462.09999999999951</v>
      </c>
      <c r="BX104" s="473">
        <f t="shared" si="50"/>
        <v>462.2999999999995</v>
      </c>
      <c r="BY104" s="473">
        <f t="shared" si="50"/>
        <v>462.49999999999949</v>
      </c>
      <c r="BZ104" s="473">
        <f t="shared" si="50"/>
        <v>462.69999999999948</v>
      </c>
      <c r="CA104" s="473">
        <f t="shared" si="50"/>
        <v>462.89999999999947</v>
      </c>
      <c r="CB104" s="473">
        <f t="shared" si="50"/>
        <v>463.09999999999945</v>
      </c>
      <c r="CC104" s="473">
        <f t="shared" si="50"/>
        <v>463.29999999999944</v>
      </c>
      <c r="CD104" s="473">
        <f t="shared" si="50"/>
        <v>463.49999999999943</v>
      </c>
      <c r="CE104" s="473">
        <f t="shared" si="50"/>
        <v>463.69999999999942</v>
      </c>
      <c r="CF104" s="473">
        <f t="shared" si="50"/>
        <v>463.89999999999941</v>
      </c>
      <c r="CG104" s="473">
        <f t="shared" si="50"/>
        <v>464.0999999999994</v>
      </c>
      <c r="CH104" s="473">
        <f t="shared" si="50"/>
        <v>464.29999999999939</v>
      </c>
      <c r="CI104" s="473">
        <f t="shared" si="50"/>
        <v>464.49999999999937</v>
      </c>
      <c r="CJ104" s="473">
        <f t="shared" si="50"/>
        <v>464.69999999999936</v>
      </c>
      <c r="CK104" s="473">
        <f t="shared" si="50"/>
        <v>464.89999999999935</v>
      </c>
      <c r="CL104" s="473">
        <f t="shared" si="50"/>
        <v>465.09999999999934</v>
      </c>
      <c r="CM104" s="473">
        <f t="shared" si="50"/>
        <v>465.29999999999933</v>
      </c>
      <c r="CN104" s="473">
        <f t="shared" si="50"/>
        <v>465.49999999999932</v>
      </c>
      <c r="CO104" s="473">
        <f t="shared" si="50"/>
        <v>465.69999999999931</v>
      </c>
      <c r="CP104" s="473">
        <f t="shared" si="50"/>
        <v>465.8999999999993</v>
      </c>
    </row>
    <row r="105" spans="1:94" ht="15" customHeight="1" thickBot="1">
      <c r="A105" s="60"/>
      <c r="B105" s="42">
        <f t="shared" si="46"/>
        <v>469</v>
      </c>
      <c r="C105" s="569" t="str">
        <f>IF('Registro Original'!C105 = "", "", 'Registro Original'!C105)</f>
        <v/>
      </c>
      <c r="D105" s="565" t="str">
        <f t="shared" si="47"/>
        <v/>
      </c>
      <c r="E105" s="42">
        <f t="shared" si="48"/>
        <v>464.5</v>
      </c>
      <c r="F105" s="569" t="str">
        <f>IF('Registro Original'!F105 = "", "", 'Registro Original'!F105)</f>
        <v/>
      </c>
      <c r="G105" s="36" t="str">
        <f t="shared" si="49"/>
        <v/>
      </c>
      <c r="I105" s="35"/>
      <c r="J105" s="35"/>
      <c r="K105" s="35"/>
      <c r="L105" s="35"/>
      <c r="M105" s="36"/>
      <c r="U105" s="822" t="s">
        <v>374</v>
      </c>
      <c r="V105" s="823"/>
      <c r="W105" s="823"/>
      <c r="X105" s="823"/>
      <c r="Y105" s="823"/>
      <c r="Z105" s="823"/>
      <c r="AA105" s="824"/>
      <c r="AC105" s="640" t="s">
        <v>339</v>
      </c>
      <c r="AD105" s="50">
        <v>670</v>
      </c>
      <c r="AE105" s="51">
        <v>88.742000000000004</v>
      </c>
      <c r="AF105" s="52">
        <f t="shared" si="20"/>
        <v>5.1870787708984567E-2</v>
      </c>
      <c r="AG105" s="746"/>
      <c r="AH105" s="52">
        <f>$Y103</f>
        <v>0.92200000000000004</v>
      </c>
      <c r="AI105" s="473">
        <f t="shared" ref="AI105:CP105" si="51">AH105</f>
        <v>0.92200000000000004</v>
      </c>
      <c r="AJ105" s="473">
        <f t="shared" si="51"/>
        <v>0.92200000000000004</v>
      </c>
      <c r="AK105" s="473">
        <f t="shared" si="51"/>
        <v>0.92200000000000004</v>
      </c>
      <c r="AL105" s="473">
        <f t="shared" si="51"/>
        <v>0.92200000000000004</v>
      </c>
      <c r="AM105" s="473">
        <f t="shared" si="51"/>
        <v>0.92200000000000004</v>
      </c>
      <c r="AN105" s="473">
        <f t="shared" si="51"/>
        <v>0.92200000000000004</v>
      </c>
      <c r="AO105" s="473">
        <f t="shared" si="51"/>
        <v>0.92200000000000004</v>
      </c>
      <c r="AP105" s="473">
        <f t="shared" si="51"/>
        <v>0.92200000000000004</v>
      </c>
      <c r="AQ105" s="473">
        <f t="shared" si="51"/>
        <v>0.92200000000000004</v>
      </c>
      <c r="AR105" s="473">
        <f t="shared" si="51"/>
        <v>0.92200000000000004</v>
      </c>
      <c r="AS105" s="473">
        <f t="shared" si="51"/>
        <v>0.92200000000000004</v>
      </c>
      <c r="AT105" s="473">
        <f t="shared" si="51"/>
        <v>0.92200000000000004</v>
      </c>
      <c r="AU105" s="473">
        <f t="shared" si="51"/>
        <v>0.92200000000000004</v>
      </c>
      <c r="AV105" s="473">
        <f t="shared" si="51"/>
        <v>0.92200000000000004</v>
      </c>
      <c r="AW105" s="473">
        <f t="shared" si="51"/>
        <v>0.92200000000000004</v>
      </c>
      <c r="AX105" s="473">
        <f t="shared" si="51"/>
        <v>0.92200000000000004</v>
      </c>
      <c r="AY105" s="473">
        <f t="shared" si="51"/>
        <v>0.92200000000000004</v>
      </c>
      <c r="AZ105" s="473">
        <f t="shared" si="51"/>
        <v>0.92200000000000004</v>
      </c>
      <c r="BA105" s="473">
        <f t="shared" si="51"/>
        <v>0.92200000000000004</v>
      </c>
      <c r="BB105" s="473">
        <f t="shared" si="51"/>
        <v>0.92200000000000004</v>
      </c>
      <c r="BC105" s="473">
        <f t="shared" si="51"/>
        <v>0.92200000000000004</v>
      </c>
      <c r="BD105" s="473">
        <f t="shared" si="51"/>
        <v>0.92200000000000004</v>
      </c>
      <c r="BE105" s="473">
        <f t="shared" si="51"/>
        <v>0.92200000000000004</v>
      </c>
      <c r="BF105" s="473">
        <f t="shared" si="51"/>
        <v>0.92200000000000004</v>
      </c>
      <c r="BG105" s="473">
        <f t="shared" si="51"/>
        <v>0.92200000000000004</v>
      </c>
      <c r="BH105" s="473">
        <f t="shared" si="51"/>
        <v>0.92200000000000004</v>
      </c>
      <c r="BI105" s="473">
        <f t="shared" si="51"/>
        <v>0.92200000000000004</v>
      </c>
      <c r="BJ105" s="473">
        <f t="shared" si="51"/>
        <v>0.92200000000000004</v>
      </c>
      <c r="BK105" s="473">
        <f t="shared" si="51"/>
        <v>0.92200000000000004</v>
      </c>
      <c r="BL105" s="473">
        <f t="shared" si="51"/>
        <v>0.92200000000000004</v>
      </c>
      <c r="BM105" s="473">
        <f t="shared" si="51"/>
        <v>0.92200000000000004</v>
      </c>
      <c r="BN105" s="473">
        <f t="shared" si="51"/>
        <v>0.92200000000000004</v>
      </c>
      <c r="BO105" s="473">
        <f t="shared" si="51"/>
        <v>0.92200000000000004</v>
      </c>
      <c r="BP105" s="473">
        <f t="shared" si="51"/>
        <v>0.92200000000000004</v>
      </c>
      <c r="BQ105" s="473">
        <f t="shared" si="51"/>
        <v>0.92200000000000004</v>
      </c>
      <c r="BR105" s="473">
        <f t="shared" si="51"/>
        <v>0.92200000000000004</v>
      </c>
      <c r="BS105" s="473">
        <f t="shared" si="51"/>
        <v>0.92200000000000004</v>
      </c>
      <c r="BT105" s="473">
        <f t="shared" si="51"/>
        <v>0.92200000000000004</v>
      </c>
      <c r="BU105" s="473">
        <f t="shared" si="51"/>
        <v>0.92200000000000004</v>
      </c>
      <c r="BV105" s="473">
        <f t="shared" si="51"/>
        <v>0.92200000000000004</v>
      </c>
      <c r="BW105" s="473">
        <f t="shared" si="51"/>
        <v>0.92200000000000004</v>
      </c>
      <c r="BX105" s="473">
        <f t="shared" si="51"/>
        <v>0.92200000000000004</v>
      </c>
      <c r="BY105" s="473">
        <f t="shared" si="51"/>
        <v>0.92200000000000004</v>
      </c>
      <c r="BZ105" s="473">
        <f t="shared" si="51"/>
        <v>0.92200000000000004</v>
      </c>
      <c r="CA105" s="473">
        <f t="shared" si="51"/>
        <v>0.92200000000000004</v>
      </c>
      <c r="CB105" s="473">
        <f t="shared" si="51"/>
        <v>0.92200000000000004</v>
      </c>
      <c r="CC105" s="473">
        <f t="shared" si="51"/>
        <v>0.92200000000000004</v>
      </c>
      <c r="CD105" s="473">
        <f t="shared" si="51"/>
        <v>0.92200000000000004</v>
      </c>
      <c r="CE105" s="473">
        <f t="shared" si="51"/>
        <v>0.92200000000000004</v>
      </c>
      <c r="CF105" s="473">
        <f t="shared" si="51"/>
        <v>0.92200000000000004</v>
      </c>
      <c r="CG105" s="473">
        <f t="shared" si="51"/>
        <v>0.92200000000000004</v>
      </c>
      <c r="CH105" s="473">
        <f t="shared" si="51"/>
        <v>0.92200000000000004</v>
      </c>
      <c r="CI105" s="473">
        <f t="shared" si="51"/>
        <v>0.92200000000000004</v>
      </c>
      <c r="CJ105" s="473">
        <f t="shared" si="51"/>
        <v>0.92200000000000004</v>
      </c>
      <c r="CK105" s="473">
        <f t="shared" si="51"/>
        <v>0.92200000000000004</v>
      </c>
      <c r="CL105" s="473">
        <f t="shared" si="51"/>
        <v>0.92200000000000004</v>
      </c>
      <c r="CM105" s="473">
        <f t="shared" si="51"/>
        <v>0.92200000000000004</v>
      </c>
      <c r="CN105" s="473">
        <f t="shared" si="51"/>
        <v>0.92200000000000004</v>
      </c>
      <c r="CO105" s="473">
        <f t="shared" si="51"/>
        <v>0.92200000000000004</v>
      </c>
      <c r="CP105" s="473">
        <f t="shared" si="51"/>
        <v>0.92200000000000004</v>
      </c>
    </row>
    <row r="106" spans="1:94" ht="15" customHeight="1">
      <c r="A106" s="60"/>
      <c r="B106" s="42">
        <f t="shared" si="46"/>
        <v>468</v>
      </c>
      <c r="C106" s="569" t="str">
        <f>IF('Registro Original'!C106 = "", "", 'Registro Original'!C106)</f>
        <v/>
      </c>
      <c r="D106" s="565" t="str">
        <f t="shared" si="47"/>
        <v/>
      </c>
      <c r="E106" s="42">
        <f t="shared" si="48"/>
        <v>464</v>
      </c>
      <c r="F106" s="569" t="str">
        <f>IF('Registro Original'!F106 = "", "", 'Registro Original'!F106)</f>
        <v/>
      </c>
      <c r="G106" s="36" t="str">
        <f t="shared" si="49"/>
        <v/>
      </c>
      <c r="I106" s="35"/>
      <c r="J106" s="35"/>
      <c r="K106" s="35"/>
      <c r="L106" s="35"/>
      <c r="M106" s="36"/>
      <c r="U106" s="602" t="s">
        <v>359</v>
      </c>
      <c r="V106" s="88" t="s">
        <v>360</v>
      </c>
      <c r="W106" s="88" t="s">
        <v>361</v>
      </c>
      <c r="X106" s="88" t="s">
        <v>362</v>
      </c>
      <c r="Y106" s="88" t="s">
        <v>363</v>
      </c>
      <c r="Z106" s="88" t="s">
        <v>364</v>
      </c>
      <c r="AA106" s="603" t="s">
        <v>365</v>
      </c>
      <c r="AB106" s="735" t="s">
        <v>458</v>
      </c>
      <c r="AC106" s="736">
        <f>IF(U107="","",IF(AA107&lt;&gt;0, 6,5))</f>
        <v>5</v>
      </c>
      <c r="AD106" s="50">
        <v>669.9</v>
      </c>
      <c r="AE106" s="51">
        <v>88.700999999999993</v>
      </c>
      <c r="AF106" s="52">
        <f t="shared" si="20"/>
        <v>5.2071483978489937E-2</v>
      </c>
    </row>
    <row r="107" spans="1:94" ht="15" customHeight="1">
      <c r="A107" s="60"/>
      <c r="B107" s="42">
        <f t="shared" si="46"/>
        <v>467</v>
      </c>
      <c r="C107" s="569" t="str">
        <f>IF('Registro Original'!C107 = "", "", 'Registro Original'!C107)</f>
        <v/>
      </c>
      <c r="D107" s="565" t="str">
        <f t="shared" si="47"/>
        <v/>
      </c>
      <c r="E107" s="42">
        <f t="shared" si="48"/>
        <v>463.5</v>
      </c>
      <c r="F107" s="569" t="str">
        <f>IF('Registro Original'!F107 = "", "", 'Registro Original'!F107)</f>
        <v/>
      </c>
      <c r="G107" s="36" t="str">
        <f t="shared" si="49"/>
        <v/>
      </c>
      <c r="I107" s="35"/>
      <c r="J107" s="35"/>
      <c r="K107" s="35"/>
      <c r="L107" s="35"/>
      <c r="M107" s="36"/>
      <c r="U107" s="633">
        <v>78836382.400112107</v>
      </c>
      <c r="V107" s="612">
        <v>-684500.90349225595</v>
      </c>
      <c r="W107" s="612">
        <v>2228.6727499746698</v>
      </c>
      <c r="X107" s="612">
        <v>-3.22499999996319</v>
      </c>
      <c r="Y107" s="612">
        <v>1.7499999999799299E-3</v>
      </c>
      <c r="Z107" s="612">
        <v>0</v>
      </c>
      <c r="AA107" s="634">
        <v>0</v>
      </c>
      <c r="AB107" s="737" t="s">
        <v>459</v>
      </c>
      <c r="AC107" s="732">
        <f>IF(AC106="", "",AC106 +1)</f>
        <v>6</v>
      </c>
      <c r="AD107" s="50">
        <v>669.8</v>
      </c>
      <c r="AE107" s="51">
        <v>88.602000000000004</v>
      </c>
      <c r="AF107" s="52">
        <f t="shared" si="20"/>
        <v>5.2556474736420257E-2</v>
      </c>
    </row>
    <row r="108" spans="1:94" ht="15" customHeight="1">
      <c r="A108" s="590" t="s">
        <v>352</v>
      </c>
      <c r="B108" s="42">
        <f t="shared" si="46"/>
        <v>466</v>
      </c>
      <c r="C108" s="569">
        <f>IF('Registro Original'!C108 = "", "", 'Registro Original'!C108)</f>
        <v>0.22700000000000001</v>
      </c>
      <c r="D108" s="565" t="str">
        <f t="shared" si="47"/>
        <v/>
      </c>
      <c r="E108" s="42">
        <f t="shared" si="48"/>
        <v>463</v>
      </c>
      <c r="F108" s="569">
        <f>IF('Registro Original'!F108 = "", "", 'Registro Original'!F108)</f>
        <v>0.24399999999999999</v>
      </c>
      <c r="G108" s="36" t="str">
        <f t="shared" si="49"/>
        <v/>
      </c>
      <c r="I108" s="35"/>
      <c r="J108" s="35"/>
      <c r="K108" s="35"/>
      <c r="L108" s="35"/>
      <c r="M108" s="36"/>
      <c r="U108" s="606" t="s">
        <v>373</v>
      </c>
      <c r="V108" s="607" t="s">
        <v>369</v>
      </c>
      <c r="W108" s="601" t="s">
        <v>375</v>
      </c>
      <c r="X108" s="601" t="s">
        <v>367</v>
      </c>
      <c r="Y108" s="601" t="s">
        <v>368</v>
      </c>
      <c r="Z108" s="635" t="s">
        <v>370</v>
      </c>
      <c r="AA108" s="636" t="s">
        <v>369</v>
      </c>
      <c r="AB108" s="737" t="s">
        <v>460</v>
      </c>
      <c r="AC108" s="605">
        <f xml:space="preserve"> 0.999999999648681</f>
        <v>0.99999999964868103</v>
      </c>
      <c r="AD108" s="50">
        <v>669.7</v>
      </c>
      <c r="AE108" s="51">
        <v>88.483000000000004</v>
      </c>
      <c r="AF108" s="52">
        <f t="shared" si="20"/>
        <v>5.3140161114439713E-2</v>
      </c>
    </row>
    <row r="109" spans="1:94" ht="15" customHeight="1">
      <c r="A109" s="60"/>
      <c r="B109" s="42">
        <f t="shared" si="46"/>
        <v>465</v>
      </c>
      <c r="C109" s="569">
        <f>IF('Registro Original'!C109 = "", "", 'Registro Original'!C109)</f>
        <v>0.29399999999999998</v>
      </c>
      <c r="D109" s="565" t="str">
        <f t="shared" si="47"/>
        <v/>
      </c>
      <c r="E109" s="42">
        <f t="shared" si="48"/>
        <v>462.5</v>
      </c>
      <c r="F109" s="569">
        <f>IF('Registro Original'!F109 = "", "", 'Registro Original'!F109)</f>
        <v>0.31900000000000001</v>
      </c>
      <c r="G109" s="36" t="str">
        <f t="shared" si="49"/>
        <v/>
      </c>
      <c r="I109" s="35"/>
      <c r="J109" s="35"/>
      <c r="K109" s="35"/>
      <c r="L109" s="35"/>
      <c r="M109" s="36"/>
      <c r="U109" s="608">
        <v>1</v>
      </c>
      <c r="V109" s="624">
        <v>460.4</v>
      </c>
      <c r="W109" s="604">
        <f xml:space="preserve"> $U$107 + $V$107*(V109) + $W$107*(V109^2) + $X$107*(V109^3) + $Y$107*(V109^4) + $Z$107*(V109^5) + $AA$107*(V109^6)</f>
        <v>0.69696356356143951</v>
      </c>
      <c r="X109" s="604">
        <f xml:space="preserve"> ($V$107 +  2*$W$107*(V109) +  3*$X$107*(V109^2) + 4*$Y$107*(V109^3) + 5*$Z$107*(V109^4) + 6*$AA$107*(V109^5))</f>
        <v>2.7479931013658643E-3</v>
      </c>
      <c r="Y109" s="617">
        <f xml:space="preserve"> (2*$W$107 + 6*$X$107*(V109) + 12*$Y$107*(V109^2) + 20*$Z$107*(V109^3) + 30*$AA$107*(V109^4))</f>
        <v>-6.3140000027487986E-2</v>
      </c>
      <c r="Z109" s="605">
        <f>V109 - (X109/Y109)</f>
        <v>460.4435222220489</v>
      </c>
      <c r="AA109" s="638">
        <v>460.44333492076049</v>
      </c>
      <c r="AB109" s="738" t="s">
        <v>461</v>
      </c>
      <c r="AC109" s="605">
        <f>IF(AC108="",  "", SQRT(AC108)/(AC107))</f>
        <v>0.16666666663739008</v>
      </c>
      <c r="AD109" s="50">
        <v>669.6</v>
      </c>
      <c r="AE109" s="51">
        <v>88.378</v>
      </c>
      <c r="AF109" s="52">
        <f t="shared" si="20"/>
        <v>5.3655830775443551E-2</v>
      </c>
    </row>
    <row r="110" spans="1:94" ht="15" customHeight="1">
      <c r="A110" s="59"/>
      <c r="B110" s="42">
        <f t="shared" si="46"/>
        <v>464</v>
      </c>
      <c r="C110" s="569">
        <f>IF('Registro Original'!C110 = "", "", 'Registro Original'!C110)</f>
        <v>0.38300000000000001</v>
      </c>
      <c r="D110" s="565" t="str">
        <f t="shared" si="47"/>
        <v/>
      </c>
      <c r="E110" s="42">
        <f t="shared" si="48"/>
        <v>462</v>
      </c>
      <c r="F110" s="569">
        <f>IF('Registro Original'!F110 = "", "", 'Registro Original'!F110)</f>
        <v>0.41499999999999998</v>
      </c>
      <c r="G110" s="36" t="str">
        <f t="shared" si="49"/>
        <v/>
      </c>
      <c r="I110" s="35"/>
      <c r="J110" s="35"/>
      <c r="K110" s="35"/>
      <c r="L110" s="35"/>
      <c r="M110" s="35"/>
      <c r="U110" s="608">
        <v>2</v>
      </c>
      <c r="V110" s="610">
        <f>Z109</f>
        <v>460.4435222220489</v>
      </c>
      <c r="W110" s="604">
        <f xml:space="preserve"> $U$107 + $V$107*(V110) + $W$107*(V110^2) + $X$107*(V110^3) + $Y$107*(V110^4) + $Z$107*(V110^5) + $AA$107*(V110^6)</f>
        <v>0.69702324271202087</v>
      </c>
      <c r="X110" s="604">
        <f xml:space="preserve"> ($V$107 +  2*$W$107*(V110) +  3*$X$107*(V110^2) + 4*$Y$107*(V110^3) + 5*$Z$107*(V110^4) + 6*$AA$107*(V110^5))</f>
        <v>-1.1924188584089279E-5</v>
      </c>
      <c r="Y110" s="617">
        <f xml:space="preserve"> (2*$W$107 + 6*$X$107*(V110) + 12*$Y$107*(V110^2) + 20*$Z$107*(V110^3) + 30*$AA$107*(V110^4))</f>
        <v>-6.3674715498564183E-2</v>
      </c>
      <c r="Z110" s="605">
        <f>V110 - (X110/Y110)</f>
        <v>460.44333495480333</v>
      </c>
      <c r="AA110" s="620" t="s">
        <v>371</v>
      </c>
      <c r="AB110" s="738" t="s">
        <v>463</v>
      </c>
      <c r="AC110" s="732">
        <f>COUNT(U107,U117)</f>
        <v>2</v>
      </c>
      <c r="AD110" s="50">
        <v>669.5</v>
      </c>
      <c r="AE110" s="51">
        <v>88.2</v>
      </c>
      <c r="AF110" s="52">
        <f t="shared" si="20"/>
        <v>5.4531414868180264E-2</v>
      </c>
    </row>
    <row r="111" spans="1:94" ht="15" customHeight="1">
      <c r="A111" s="60"/>
      <c r="B111" s="42">
        <f t="shared" si="46"/>
        <v>463</v>
      </c>
      <c r="C111" s="569">
        <f>IF('Registro Original'!C111 = "", "", 'Registro Original'!C111)</f>
        <v>0.52</v>
      </c>
      <c r="D111" s="565" t="str">
        <f t="shared" si="47"/>
        <v/>
      </c>
      <c r="E111" s="42">
        <f t="shared" si="48"/>
        <v>461.5</v>
      </c>
      <c r="F111" s="569">
        <f>IF('Registro Original'!F111 = "", "", 'Registro Original'!F111)</f>
        <v>0.55500000000000005</v>
      </c>
      <c r="G111" s="36" t="str">
        <f t="shared" si="49"/>
        <v/>
      </c>
      <c r="I111" s="35"/>
      <c r="J111" s="35"/>
      <c r="K111" s="35"/>
      <c r="L111" s="35"/>
      <c r="M111" s="36"/>
      <c r="U111" s="608">
        <v>3</v>
      </c>
      <c r="V111" s="610">
        <f>Z110</f>
        <v>460.44333495480333</v>
      </c>
      <c r="W111" s="604">
        <f xml:space="preserve"> $U$107 + $V$107*(V111) + $W$107*(V111^2) + $X$107*(V111^3) + $Y$107*(V111^4) + $Z$107*(V111^5) + $AA$107*(V111^6)</f>
        <v>0.69702315330505371</v>
      </c>
      <c r="X111" s="604">
        <f xml:space="preserve"> ($V$107 +  2*$W$107*(V111) +  3*$X$107*(V111^2) + 4*$Y$107*(V111^3) + 5*$Z$107*(V111^4) + 6*$AA$107*(V111^5))</f>
        <v>-4.6566128730773926E-10</v>
      </c>
      <c r="Y111" s="617">
        <f xml:space="preserve"> (2*$W$107 + 6*$X$107*(V111) + 12*$Y$107*(V111^2) + 20*$Z$107*(V111^3) + 30*$AA$107*(V111^4))</f>
        <v>-6.3672585146377969E-2</v>
      </c>
      <c r="Z111" s="605">
        <f>V111 - (X111/Y111)</f>
        <v>460.44333494748997</v>
      </c>
      <c r="AA111" s="637">
        <f xml:space="preserve"> ($V$107 +  2*$W$107*(AA109) +  3*$X$107*(AA109^2) + 4*$Y$107*(AA109^3) + 5*$Z$107*(AA109^4) + 6*$AA$107*(AA109^5))</f>
        <v>1.3969838619232178E-9</v>
      </c>
      <c r="AB111" s="739" t="s">
        <v>462</v>
      </c>
      <c r="AC111" s="634">
        <f>IF(AC109="", "", AC109/SQRT(AC110))</f>
        <v>0.11785113017705624</v>
      </c>
      <c r="AD111" s="50">
        <v>669.4</v>
      </c>
      <c r="AE111" s="51">
        <v>88.197999999999993</v>
      </c>
      <c r="AF111" s="52">
        <f t="shared" si="20"/>
        <v>5.4541262927272141E-2</v>
      </c>
    </row>
    <row r="112" spans="1:94" ht="15" customHeight="1">
      <c r="A112" s="61"/>
      <c r="B112" s="42">
        <f t="shared" si="46"/>
        <v>462</v>
      </c>
      <c r="C112" s="569">
        <f>IF('Registro Original'!C112 = "", "", 'Registro Original'!C112)</f>
        <v>0.623</v>
      </c>
      <c r="D112" s="565" t="str">
        <f t="shared" si="47"/>
        <v/>
      </c>
      <c r="E112" s="42">
        <f t="shared" si="48"/>
        <v>461</v>
      </c>
      <c r="F112" s="569">
        <f>IF('Registro Original'!F112 = "", "", 'Registro Original'!F112)</f>
        <v>0.65</v>
      </c>
      <c r="G112" s="36" t="str">
        <f t="shared" si="49"/>
        <v/>
      </c>
      <c r="I112" s="35"/>
      <c r="J112" s="35"/>
      <c r="K112" s="35"/>
      <c r="L112" s="35"/>
      <c r="M112" s="35"/>
      <c r="U112" s="608">
        <v>4</v>
      </c>
      <c r="V112" s="610">
        <f t="shared" ref="V112:V115" si="52">Z111</f>
        <v>460.44333494748997</v>
      </c>
      <c r="W112" s="604">
        <f t="shared" ref="W112:W115" si="53" xml:space="preserve"> $U$107 + $V$107*(V112) + $W$107*(V112^2) + $X$107*(V112^3) + $Y$107*(V112^4) + $Z$107*(V112^5) + $AA$107*(V112^6)</f>
        <v>0.69702319800853729</v>
      </c>
      <c r="X112" s="604">
        <f t="shared" ref="X112:X115" si="54" xml:space="preserve"> ($V$107 +  2*$W$107*(V112) +  3*$X$107*(V112^2) + 4*$Y$107*(V112^3) + 5*$Z$107*(V112^4) + 6*$AA$107*(V112^5))</f>
        <v>1.1641532182693481E-10</v>
      </c>
      <c r="Y112" s="617">
        <f t="shared" ref="Y112:Y115" si="55" xml:space="preserve"> (2*$W$107 + 6*$X$107*(V112) + 12*$Y$107*(V112^2) + 20*$Z$107*(V112^3) + 30*$AA$107*(V112^4))</f>
        <v>-6.3672585062704457E-2</v>
      </c>
      <c r="Z112" s="605">
        <f t="shared" ref="Z112:Z115" si="56">V112 - (X112/Y112)</f>
        <v>460.44333494931834</v>
      </c>
      <c r="AA112" s="621"/>
      <c r="AD112" s="50">
        <v>669.3</v>
      </c>
      <c r="AE112" s="51">
        <v>88.123999999999995</v>
      </c>
      <c r="AF112" s="52">
        <f t="shared" si="20"/>
        <v>5.4905798192840007E-2</v>
      </c>
    </row>
    <row r="113" spans="1:34" ht="15" customHeight="1">
      <c r="A113" s="59" t="s">
        <v>339</v>
      </c>
      <c r="B113" s="42">
        <f>IF(ISNUMBER($G$45),B114+$G$45,"")</f>
        <v>461</v>
      </c>
      <c r="C113" s="569">
        <f>IF('Registro Original'!C113 = "", "", 'Registro Original'!C113)</f>
        <v>0.68700000000000006</v>
      </c>
      <c r="D113" s="565" t="str">
        <f t="shared" si="47"/>
        <v/>
      </c>
      <c r="E113" s="42">
        <f>IF(ISNUMBER($G$45),E114+$K$45,"")</f>
        <v>460.5</v>
      </c>
      <c r="F113" s="569">
        <f>IF('Registro Original'!F113 = "", "", 'Registro Original'!F113)</f>
        <v>0.69799999999999995</v>
      </c>
      <c r="G113" s="36">
        <f t="shared" si="49"/>
        <v>0.69799999999999995</v>
      </c>
      <c r="I113" s="35"/>
      <c r="J113" s="35"/>
      <c r="K113" s="35"/>
      <c r="L113" s="35"/>
      <c r="M113" s="36"/>
      <c r="U113" s="608">
        <v>5</v>
      </c>
      <c r="V113" s="610">
        <f t="shared" si="52"/>
        <v>460.44333494931834</v>
      </c>
      <c r="W113" s="604">
        <f t="shared" si="53"/>
        <v>0.69702324271202087</v>
      </c>
      <c r="X113" s="604">
        <f t="shared" si="54"/>
        <v>-1.1641532182693481E-10</v>
      </c>
      <c r="Y113" s="617">
        <f t="shared" si="55"/>
        <v>-6.367258508271334E-2</v>
      </c>
      <c r="Z113" s="605">
        <f t="shared" si="56"/>
        <v>460.44333494748997</v>
      </c>
      <c r="AA113" s="621"/>
      <c r="AD113" s="50">
        <v>669.2</v>
      </c>
      <c r="AE113" s="51">
        <v>87.978999999999999</v>
      </c>
      <c r="AF113" s="52">
        <f t="shared" si="20"/>
        <v>5.5620978673659914E-2</v>
      </c>
    </row>
    <row r="114" spans="1:34" ht="15" customHeight="1">
      <c r="A114" s="45">
        <v>460.35</v>
      </c>
      <c r="B114" s="122">
        <v>460</v>
      </c>
      <c r="C114" s="569">
        <f>IF('Registro Original'!C114 = "", "", 'Registro Original'!C114)</f>
        <v>0.69099999999999995</v>
      </c>
      <c r="D114" s="565">
        <f>IF(C114&lt;&gt;"",IF(C114 = LARGE($C$102:$C$126,1), C114, ""), "")</f>
        <v>0.69099999999999995</v>
      </c>
      <c r="E114" s="122">
        <v>460</v>
      </c>
      <c r="F114" s="569">
        <f>IF('Registro Original'!F114 = "", "", 'Registro Original'!F114)</f>
        <v>0.68200000000000005</v>
      </c>
      <c r="G114" s="36" t="str">
        <f>IF(F114 &lt;&gt;"", IF(F114 = LARGE($F$102:$F$126,1), F114, ""), "")</f>
        <v/>
      </c>
      <c r="I114" s="35"/>
      <c r="J114" s="35"/>
      <c r="K114" s="35"/>
      <c r="L114" s="35"/>
      <c r="M114" s="35"/>
      <c r="U114" s="608">
        <v>6</v>
      </c>
      <c r="V114" s="610">
        <f t="shared" si="52"/>
        <v>460.44333494748997</v>
      </c>
      <c r="W114" s="604">
        <f t="shared" si="53"/>
        <v>0.69702319800853729</v>
      </c>
      <c r="X114" s="604">
        <f t="shared" si="54"/>
        <v>1.1641532182693481E-10</v>
      </c>
      <c r="Y114" s="617">
        <f t="shared" si="55"/>
        <v>-6.3672585062704457E-2</v>
      </c>
      <c r="Z114" s="605">
        <f t="shared" si="56"/>
        <v>460.44333494931834</v>
      </c>
      <c r="AA114" s="621"/>
      <c r="AD114" s="50">
        <v>669.1</v>
      </c>
      <c r="AE114" s="51">
        <v>87.826999999999998</v>
      </c>
      <c r="AF114" s="52">
        <f t="shared" si="20"/>
        <v>5.6371951651804066E-2</v>
      </c>
    </row>
    <row r="115" spans="1:34" ht="15" customHeight="1">
      <c r="A115" s="60"/>
      <c r="B115" s="42">
        <f>IF(ISNUMBER($G$45),B114-$G$45,"")</f>
        <v>459</v>
      </c>
      <c r="C115" s="569">
        <f>IF('Registro Original'!C115 = "", "", 'Registro Original'!C115)</f>
        <v>0.64400000000000002</v>
      </c>
      <c r="D115" s="565" t="str">
        <f t="shared" ref="D115:D126" si="57">IF(C115&lt;&gt;"",IF(C115 = LARGE($C$102:$C$126,1), C115, ""), "")</f>
        <v/>
      </c>
      <c r="E115" s="42">
        <f>IF(ISNUMBER($G$45),E114-$K$45,"")</f>
        <v>459.5</v>
      </c>
      <c r="F115" s="569">
        <f>IF('Registro Original'!F115 = "", "", 'Registro Original'!F115)</f>
        <v>0.63</v>
      </c>
      <c r="G115" s="36" t="str">
        <f t="shared" ref="G115:G126" si="58">IF(F115 &lt;&gt;"", IF(F115 = LARGE($F$102:$F$126,1), F115, ""), "")</f>
        <v/>
      </c>
      <c r="I115" s="35"/>
      <c r="J115" s="35"/>
      <c r="K115" s="35"/>
      <c r="L115" s="35"/>
      <c r="M115" s="36"/>
      <c r="U115" s="611">
        <v>7</v>
      </c>
      <c r="V115" s="659">
        <f t="shared" si="52"/>
        <v>460.44333494931834</v>
      </c>
      <c r="W115" s="604">
        <f t="shared" si="53"/>
        <v>0.69702324271202087</v>
      </c>
      <c r="X115" s="604">
        <f t="shared" si="54"/>
        <v>-1.1641532182693481E-10</v>
      </c>
      <c r="Y115" s="617">
        <f t="shared" si="55"/>
        <v>-6.367258508271334E-2</v>
      </c>
      <c r="Z115" s="605">
        <f t="shared" si="56"/>
        <v>460.44333494748997</v>
      </c>
      <c r="AA115" s="622"/>
      <c r="AD115" s="50">
        <v>669</v>
      </c>
      <c r="AE115" s="51">
        <v>87.668999999999997</v>
      </c>
      <c r="AF115" s="52">
        <f t="shared" si="20"/>
        <v>5.7153947215011235E-2</v>
      </c>
    </row>
    <row r="116" spans="1:34" ht="15" customHeight="1">
      <c r="A116" s="61"/>
      <c r="B116" s="42">
        <f t="shared" ref="B116:B126" si="59">IF(ISNUMBER($G$45),B115-$G$45,"")</f>
        <v>458</v>
      </c>
      <c r="C116" s="569">
        <f>IF('Registro Original'!C116 = "", "", 'Registro Original'!C116)</f>
        <v>0.59699999999999998</v>
      </c>
      <c r="D116" s="565" t="str">
        <f t="shared" si="57"/>
        <v/>
      </c>
      <c r="E116" s="42">
        <f t="shared" ref="E116:E126" si="60">IF(ISNUMBER($G$45),E115-$K$45,"")</f>
        <v>459</v>
      </c>
      <c r="F116" s="569">
        <f>IF('Registro Original'!F116 = "", "", 'Registro Original'!F116)</f>
        <v>0.58699999999999997</v>
      </c>
      <c r="G116" s="36" t="str">
        <f t="shared" si="58"/>
        <v/>
      </c>
      <c r="I116" s="35"/>
      <c r="J116" s="35"/>
      <c r="K116" s="35"/>
      <c r="L116" s="35"/>
      <c r="M116" s="35"/>
      <c r="U116" s="614" t="s">
        <v>359</v>
      </c>
      <c r="V116" s="615" t="s">
        <v>360</v>
      </c>
      <c r="W116" s="615" t="s">
        <v>361</v>
      </c>
      <c r="X116" s="615" t="s">
        <v>362</v>
      </c>
      <c r="Y116" s="615" t="s">
        <v>363</v>
      </c>
      <c r="Z116" s="615" t="s">
        <v>364</v>
      </c>
      <c r="AA116" s="616" t="s">
        <v>365</v>
      </c>
      <c r="AB116" s="735" t="s">
        <v>458</v>
      </c>
      <c r="AC116" s="736">
        <f>IF(U117="","",IF(AA117&lt;&gt;0, 6,5))</f>
        <v>5</v>
      </c>
      <c r="AD116" s="50">
        <v>668.9</v>
      </c>
      <c r="AE116" s="51">
        <v>87.567999999999998</v>
      </c>
      <c r="AF116" s="52">
        <f t="shared" si="20"/>
        <v>5.7654569201570138E-2</v>
      </c>
    </row>
    <row r="117" spans="1:34" ht="15" customHeight="1">
      <c r="A117" s="60"/>
      <c r="B117" s="42">
        <f t="shared" si="59"/>
        <v>457</v>
      </c>
      <c r="C117" s="569">
        <f>IF('Registro Original'!C117 = "", "", 'Registro Original'!C117)</f>
        <v>0.58299999999999996</v>
      </c>
      <c r="D117" s="565" t="str">
        <f t="shared" si="57"/>
        <v/>
      </c>
      <c r="E117" s="42">
        <f t="shared" si="60"/>
        <v>458.5</v>
      </c>
      <c r="F117" s="569">
        <f>IF('Registro Original'!F117 = "", "", 'Registro Original'!F117)</f>
        <v>0.58799999999999997</v>
      </c>
      <c r="G117" s="36" t="str">
        <f t="shared" si="58"/>
        <v/>
      </c>
      <c r="I117" s="35"/>
      <c r="J117" s="35"/>
      <c r="K117" s="35"/>
      <c r="L117" s="35"/>
      <c r="M117" s="36"/>
      <c r="U117" s="633">
        <v>32303464.226946499</v>
      </c>
      <c r="V117" s="612">
        <v>-279629.781582853</v>
      </c>
      <c r="W117" s="612">
        <v>907.67629166504901</v>
      </c>
      <c r="X117" s="612">
        <v>-1.3094166666642499</v>
      </c>
      <c r="Y117" s="618">
        <v>7.08333333331979E-4</v>
      </c>
      <c r="Z117" s="612">
        <v>0</v>
      </c>
      <c r="AA117" s="641">
        <v>0</v>
      </c>
      <c r="AB117" s="737" t="s">
        <v>459</v>
      </c>
      <c r="AC117" s="732">
        <f>IF(AC116="", "",AC116 +1)</f>
        <v>6</v>
      </c>
      <c r="AD117" s="50">
        <v>668.8</v>
      </c>
      <c r="AE117" s="51">
        <v>87.412000000000006</v>
      </c>
      <c r="AF117" s="52">
        <f t="shared" si="20"/>
        <v>5.8428942925729845E-2</v>
      </c>
    </row>
    <row r="118" spans="1:34" ht="15" customHeight="1">
      <c r="A118" s="60"/>
      <c r="B118" s="42">
        <f t="shared" si="59"/>
        <v>456</v>
      </c>
      <c r="C118" s="569">
        <f>IF('Registro Original'!C118 = "", "", 'Registro Original'!C118)</f>
        <v>0.61099999999999999</v>
      </c>
      <c r="D118" s="565" t="str">
        <f t="shared" si="57"/>
        <v/>
      </c>
      <c r="E118" s="42">
        <f t="shared" si="60"/>
        <v>458</v>
      </c>
      <c r="F118" s="569">
        <f>IF('Registro Original'!F118 = "", "", 'Registro Original'!F118)</f>
        <v>0.625</v>
      </c>
      <c r="G118" s="36" t="str">
        <f t="shared" si="58"/>
        <v/>
      </c>
      <c r="I118" s="35"/>
      <c r="J118" s="35"/>
      <c r="K118" s="35"/>
      <c r="L118" s="35"/>
      <c r="M118" s="36"/>
      <c r="U118" s="606" t="s">
        <v>373</v>
      </c>
      <c r="V118" s="607" t="s">
        <v>369</v>
      </c>
      <c r="W118" s="601" t="s">
        <v>375</v>
      </c>
      <c r="X118" s="601" t="s">
        <v>367</v>
      </c>
      <c r="Y118" s="601" t="s">
        <v>368</v>
      </c>
      <c r="Z118" s="623" t="s">
        <v>370</v>
      </c>
      <c r="AA118" s="636" t="s">
        <v>369</v>
      </c>
      <c r="AB118" s="737" t="s">
        <v>460</v>
      </c>
      <c r="AC118" s="605">
        <f xml:space="preserve"> 1.00000000004713</f>
        <v>1.0000000000471301</v>
      </c>
      <c r="AD118" s="50">
        <v>668.7</v>
      </c>
      <c r="AE118" s="51">
        <v>87.305999999999997</v>
      </c>
      <c r="AF118" s="52">
        <f t="shared" si="20"/>
        <v>5.8955908902101915E-2</v>
      </c>
    </row>
    <row r="119" spans="1:34" ht="15" customHeight="1">
      <c r="A119" s="60"/>
      <c r="B119" s="42">
        <f t="shared" si="59"/>
        <v>455</v>
      </c>
      <c r="C119" s="569">
        <f>IF('Registro Original'!C119 = "", "", 'Registro Original'!C119)</f>
        <v>0.65800000000000003</v>
      </c>
      <c r="D119" s="565" t="str">
        <f t="shared" si="57"/>
        <v/>
      </c>
      <c r="E119" s="42">
        <f t="shared" si="60"/>
        <v>457.5</v>
      </c>
      <c r="F119" s="569">
        <f>IF('Registro Original'!F119 = "", "", 'Registro Original'!F119)</f>
        <v>0.67100000000000004</v>
      </c>
      <c r="G119" s="36" t="str">
        <f t="shared" si="58"/>
        <v/>
      </c>
      <c r="I119" s="35"/>
      <c r="J119" s="35"/>
      <c r="K119" s="35"/>
      <c r="L119" s="35"/>
      <c r="M119" s="36"/>
      <c r="U119" s="608">
        <v>1</v>
      </c>
      <c r="V119" s="642">
        <v>460.72</v>
      </c>
      <c r="W119" s="604">
        <f xml:space="preserve"> $U$117 + $V$117*(V119) + $W$117*(V119^2) + $X$117*(V119^3) + $Y$117*(V119^4) + $Z$117*(V119^5) + $AA$117*(V119^6)</f>
        <v>0.69908109307289124</v>
      </c>
      <c r="X119" s="604">
        <f xml:space="preserve"> ($V$117 +  2*$W$117*(V119) +  3*$X$117*(V119^2) + 4*$Y$117*(V119^3) + 5*$Z$117*(V119^4) + 6*$AA$117*(V119^5))</f>
        <v>4.7400681069120765E-3</v>
      </c>
      <c r="Y119" s="617">
        <f xml:space="preserve"> (2*$W$117 + 6*$X$117*(V119) + 12*$Y$117*(V119^2) + 20*$Z$117*(V119^3) + 30*$AA$117*(V119^4))</f>
        <v>-5.9290266671041536E-2</v>
      </c>
      <c r="Z119" s="605">
        <f>V119 - (X119/Y119)</f>
        <v>460.79994681712623</v>
      </c>
      <c r="AA119" s="639">
        <v>460.79870268059852</v>
      </c>
      <c r="AB119" s="738" t="s">
        <v>461</v>
      </c>
      <c r="AC119" s="605">
        <f>IF(AC118="",  "", SQRT(AC118)/(AC117))</f>
        <v>0.16666666667059418</v>
      </c>
      <c r="AD119" s="50">
        <v>668.6</v>
      </c>
      <c r="AE119" s="51">
        <v>87.075999999999993</v>
      </c>
      <c r="AF119" s="52">
        <f t="shared" si="20"/>
        <v>6.0101529307416315E-2</v>
      </c>
    </row>
    <row r="120" spans="1:34" ht="15" customHeight="1">
      <c r="A120" s="590" t="s">
        <v>351</v>
      </c>
      <c r="B120" s="42">
        <f t="shared" si="59"/>
        <v>454</v>
      </c>
      <c r="C120" s="569">
        <f>IF('Registro Original'!C120 = "", "", 'Registro Original'!C120)</f>
        <v>0.69</v>
      </c>
      <c r="D120" s="565" t="str">
        <f t="shared" si="57"/>
        <v/>
      </c>
      <c r="E120" s="42">
        <f t="shared" si="60"/>
        <v>457</v>
      </c>
      <c r="F120" s="569">
        <f>IF('Registro Original'!F120 = "", "", 'Registro Original'!F120)</f>
        <v>0.69</v>
      </c>
      <c r="G120" s="36" t="str">
        <f t="shared" si="58"/>
        <v/>
      </c>
      <c r="I120" s="35"/>
      <c r="J120" s="35"/>
      <c r="K120" s="35"/>
      <c r="L120" s="35"/>
      <c r="M120" s="36"/>
      <c r="U120" s="608">
        <v>2</v>
      </c>
      <c r="V120" s="610">
        <f>Z119</f>
        <v>460.79994681712623</v>
      </c>
      <c r="W120" s="604">
        <f xml:space="preserve"> $U$117 + $V$117*(V120) + $W$117*(V120^2) + $X$117*(V120^3) + $Y$117*(V120^4) + $Z$117*(V120^5) + $AA$117*(V120^6)</f>
        <v>0.69926854595541954</v>
      </c>
      <c r="X120" s="604">
        <f xml:space="preserve"> ($V$117 +  2*$W$117*(V120) +  3*$X$117*(V120^2) + 4*$Y$117*(V120^3) + 5*$Z$117*(V120^4) + 6*$AA$117*(V120^5))</f>
        <v>-7.6080788858234882E-5</v>
      </c>
      <c r="Y120" s="617">
        <f xml:space="preserve"> (2*$W$117 + 6*$X$117*(V120) + 12*$Y$117*(V120^2) + 20*$Z$117*(V120^3) + 30*$AA$117*(V120^4))</f>
        <v>-6.1175448759513529E-2</v>
      </c>
      <c r="Z120" s="605">
        <f>V120 - (X120/Y120)</f>
        <v>460.79870316807416</v>
      </c>
      <c r="AA120" s="620" t="s">
        <v>371</v>
      </c>
      <c r="AB120" s="738" t="s">
        <v>463</v>
      </c>
      <c r="AC120" s="732">
        <f>COUNT(U107,U117)</f>
        <v>2</v>
      </c>
      <c r="AD120" s="50">
        <v>668.5</v>
      </c>
      <c r="AE120" s="51">
        <v>86.936999999999998</v>
      </c>
      <c r="AF120" s="52">
        <f t="shared" si="20"/>
        <v>6.0795350410712476E-2</v>
      </c>
    </row>
    <row r="121" spans="1:34" ht="15" customHeight="1">
      <c r="A121" s="60"/>
      <c r="B121" s="42">
        <f t="shared" si="59"/>
        <v>453</v>
      </c>
      <c r="C121" s="569" t="str">
        <f>IF('Registro Original'!C121 = "", "", 'Registro Original'!C121)</f>
        <v/>
      </c>
      <c r="D121" s="565" t="str">
        <f t="shared" si="57"/>
        <v/>
      </c>
      <c r="E121" s="42">
        <f t="shared" si="60"/>
        <v>456.5</v>
      </c>
      <c r="F121" s="569">
        <f>IF('Registro Original'!F121 = "", "", 'Registro Original'!F121)</f>
        <v>0.67500000000000004</v>
      </c>
      <c r="G121" s="36" t="str">
        <f t="shared" si="58"/>
        <v/>
      </c>
      <c r="I121" s="35"/>
      <c r="J121" s="35"/>
      <c r="K121" s="35"/>
      <c r="L121" s="35"/>
      <c r="M121" s="36"/>
      <c r="U121" s="608">
        <v>3</v>
      </c>
      <c r="V121" s="610">
        <f t="shared" ref="V121:V125" si="61">Z120</f>
        <v>460.79870316807416</v>
      </c>
      <c r="W121" s="604">
        <f t="shared" ref="W121:W125" si="62" xml:space="preserve"> $U$117 + $V$117*(V121) + $W$117*(V121^2) + $X$117*(V121^3) + $Y$117*(V121^4) + $Z$117*(V121^5) + $AA$117*(V121^6)</f>
        <v>0.69926859810948372</v>
      </c>
      <c r="X121" s="604">
        <f t="shared" ref="X121:X125" si="63" xml:space="preserve"> ($V$117 +  2*$W$117*(V121) +  3*$X$117*(V121^2) + 4*$Y$117*(V121^3) + 5*$Z$117*(V121^4) + 6*$AA$117*(V121^5))</f>
        <v>-1.7927959561347961E-8</v>
      </c>
      <c r="Y121" s="617">
        <f t="shared" ref="Y121:Y125" si="64" xml:space="preserve"> (2*$W$117 + 6*$X$117*(V121) + 12*$Y$117*(V121^2) + 20*$Z$117*(V121^3) + 30*$AA$117*(V121^4))</f>
        <v>-6.1146954925334285E-2</v>
      </c>
      <c r="Z121" s="605">
        <f t="shared" ref="Z121:Z125" si="65">V121 - (X121/Y121)</f>
        <v>460.7987028748795</v>
      </c>
      <c r="AA121" s="637">
        <f xml:space="preserve"> ($V$117 +  2*$W$117*(AA119) +  3*$X$117*(AA119^2) + 4*$Y$117*(AA119^3) + 5*$Z$117*(AA119^4) + 6*$AA$117*(AA119^5))</f>
        <v>1.1874362826347351E-8</v>
      </c>
      <c r="AB121" s="739" t="s">
        <v>462</v>
      </c>
      <c r="AC121" s="634">
        <f>IF(AC119="", "", AC119/SQRT(AC120))</f>
        <v>0.11785113020053509</v>
      </c>
      <c r="AD121" s="50">
        <v>668.4</v>
      </c>
      <c r="AE121" s="51">
        <v>86.772000000000006</v>
      </c>
      <c r="AF121" s="52">
        <f t="shared" si="20"/>
        <v>6.1620392418497739E-2</v>
      </c>
    </row>
    <row r="122" spans="1:34" ht="15" customHeight="1">
      <c r="A122" s="60"/>
      <c r="B122" s="42">
        <f t="shared" si="59"/>
        <v>452</v>
      </c>
      <c r="C122" s="569" t="str">
        <f>IF('Registro Original'!C122 = "", "", 'Registro Original'!C122)</f>
        <v/>
      </c>
      <c r="D122" s="565" t="str">
        <f t="shared" si="57"/>
        <v/>
      </c>
      <c r="E122" s="42">
        <f t="shared" si="60"/>
        <v>456</v>
      </c>
      <c r="F122" s="569" t="str">
        <f>IF('Registro Original'!F122 = "", "", 'Registro Original'!F122)</f>
        <v/>
      </c>
      <c r="G122" s="36" t="str">
        <f t="shared" si="58"/>
        <v/>
      </c>
      <c r="I122" s="35"/>
      <c r="J122" s="35"/>
      <c r="K122" s="35"/>
      <c r="L122" s="35"/>
      <c r="M122" s="36"/>
      <c r="U122" s="608">
        <v>4</v>
      </c>
      <c r="V122" s="610">
        <f t="shared" si="61"/>
        <v>460.7987028748795</v>
      </c>
      <c r="W122" s="604">
        <f t="shared" si="62"/>
        <v>0.69926861673593521</v>
      </c>
      <c r="X122" s="604">
        <f t="shared" si="63"/>
        <v>1.7462298274040222E-10</v>
      </c>
      <c r="Y122" s="617">
        <f t="shared" si="64"/>
        <v>-6.1146948204395812E-2</v>
      </c>
      <c r="Z122" s="605">
        <f t="shared" si="65"/>
        <v>460.79870287773531</v>
      </c>
      <c r="AA122" s="621"/>
      <c r="AD122" s="50">
        <v>668.3</v>
      </c>
      <c r="AE122" s="51">
        <v>86.635999999999996</v>
      </c>
      <c r="AF122" s="52">
        <f t="shared" si="20"/>
        <v>6.2301607375694408E-2</v>
      </c>
    </row>
    <row r="123" spans="1:34" ht="15" customHeight="1">
      <c r="A123" s="60"/>
      <c r="B123" s="42">
        <f t="shared" si="59"/>
        <v>451</v>
      </c>
      <c r="C123" s="569" t="str">
        <f>IF('Registro Original'!C123 = "", "", 'Registro Original'!C123)</f>
        <v/>
      </c>
      <c r="D123" s="565" t="str">
        <f t="shared" si="57"/>
        <v/>
      </c>
      <c r="E123" s="42">
        <f t="shared" si="60"/>
        <v>455.5</v>
      </c>
      <c r="F123" s="569" t="str">
        <f>IF('Registro Original'!F123 = "", "", 'Registro Original'!F123)</f>
        <v/>
      </c>
      <c r="G123" s="36" t="str">
        <f t="shared" si="58"/>
        <v/>
      </c>
      <c r="I123" s="35"/>
      <c r="J123" s="35"/>
      <c r="K123" s="35"/>
      <c r="L123" s="35"/>
      <c r="M123" s="36"/>
      <c r="U123" s="608">
        <v>5</v>
      </c>
      <c r="V123" s="610">
        <f t="shared" si="61"/>
        <v>460.79870287773531</v>
      </c>
      <c r="W123" s="604">
        <f t="shared" si="62"/>
        <v>0.69926860928535461</v>
      </c>
      <c r="X123" s="604">
        <f t="shared" si="63"/>
        <v>-1.1641532182693481E-10</v>
      </c>
      <c r="Y123" s="617">
        <f t="shared" si="64"/>
        <v>-6.1146948269879431E-2</v>
      </c>
      <c r="Z123" s="605">
        <f t="shared" si="65"/>
        <v>460.79870287583145</v>
      </c>
      <c r="AA123" s="621"/>
      <c r="AD123" s="50">
        <v>668.2</v>
      </c>
      <c r="AE123" s="51">
        <v>86.477000000000004</v>
      </c>
      <c r="AF123" s="52">
        <f t="shared" si="20"/>
        <v>6.3099385035837771E-2</v>
      </c>
    </row>
    <row r="124" spans="1:34" ht="15" customHeight="1">
      <c r="A124" s="60"/>
      <c r="B124" s="42">
        <f t="shared" si="59"/>
        <v>450</v>
      </c>
      <c r="C124" s="569" t="str">
        <f>IF('Registro Original'!C124 = "", "", 'Registro Original'!C124)</f>
        <v/>
      </c>
      <c r="D124" s="565" t="str">
        <f t="shared" si="57"/>
        <v/>
      </c>
      <c r="E124" s="42">
        <f t="shared" si="60"/>
        <v>455</v>
      </c>
      <c r="F124" s="569" t="str">
        <f>IF('Registro Original'!F124 = "", "", 'Registro Original'!F124)</f>
        <v/>
      </c>
      <c r="G124" s="36" t="str">
        <f t="shared" si="58"/>
        <v/>
      </c>
      <c r="I124" s="35"/>
      <c r="J124" s="35"/>
      <c r="K124" s="35"/>
      <c r="L124" s="35"/>
      <c r="M124" s="36"/>
      <c r="U124" s="608">
        <v>6</v>
      </c>
      <c r="V124" s="610">
        <f t="shared" si="61"/>
        <v>460.79870287583145</v>
      </c>
      <c r="W124" s="604">
        <f t="shared" si="62"/>
        <v>0.69926862046122551</v>
      </c>
      <c r="X124" s="604">
        <f t="shared" si="63"/>
        <v>0</v>
      </c>
      <c r="Y124" s="617">
        <f t="shared" si="64"/>
        <v>-6.1146948226678433E-2</v>
      </c>
      <c r="Z124" s="605">
        <f t="shared" si="65"/>
        <v>460.79870287583145</v>
      </c>
      <c r="AA124" s="621"/>
      <c r="AD124" s="50">
        <v>668.1</v>
      </c>
      <c r="AE124" s="51">
        <v>86.275999999999996</v>
      </c>
      <c r="AF124" s="52">
        <f t="shared" si="20"/>
        <v>6.410999822639149E-2</v>
      </c>
    </row>
    <row r="125" spans="1:34" ht="15" customHeight="1">
      <c r="A125" s="61"/>
      <c r="B125" s="42">
        <f t="shared" si="59"/>
        <v>449</v>
      </c>
      <c r="C125" s="569" t="str">
        <f>IF('Registro Original'!C125 = "", "", 'Registro Original'!C125)</f>
        <v/>
      </c>
      <c r="D125" s="565" t="str">
        <f t="shared" si="57"/>
        <v/>
      </c>
      <c r="E125" s="42">
        <f t="shared" si="60"/>
        <v>454.5</v>
      </c>
      <c r="F125" s="569" t="str">
        <f>IF('Registro Original'!F125 = "", "", 'Registro Original'!F125)</f>
        <v/>
      </c>
      <c r="G125" s="36" t="str">
        <f t="shared" si="58"/>
        <v/>
      </c>
      <c r="I125" s="35"/>
      <c r="J125" s="35"/>
      <c r="K125" s="35"/>
      <c r="L125" s="35"/>
      <c r="M125" s="35"/>
      <c r="U125" s="611">
        <v>7</v>
      </c>
      <c r="V125" s="658">
        <f t="shared" si="61"/>
        <v>460.79870287583145</v>
      </c>
      <c r="W125" s="612">
        <f t="shared" si="62"/>
        <v>0.69926862046122551</v>
      </c>
      <c r="X125" s="612">
        <f t="shared" si="63"/>
        <v>0</v>
      </c>
      <c r="Y125" s="618">
        <f t="shared" si="64"/>
        <v>-6.1146948226678433E-2</v>
      </c>
      <c r="Z125" s="634">
        <f t="shared" si="65"/>
        <v>460.79870287583145</v>
      </c>
      <c r="AA125" s="622"/>
      <c r="AD125" s="50">
        <v>668</v>
      </c>
      <c r="AE125" s="51">
        <v>86.15</v>
      </c>
      <c r="AF125" s="52">
        <f t="shared" si="20"/>
        <v>6.4744718215952679E-2</v>
      </c>
    </row>
    <row r="126" spans="1:34" ht="15" customHeight="1" thickBot="1">
      <c r="A126" s="43"/>
      <c r="B126" s="47">
        <f t="shared" si="59"/>
        <v>448</v>
      </c>
      <c r="C126" s="572" t="str">
        <f>IF('Registro Original'!C126 = "", "", 'Registro Original'!C126)</f>
        <v/>
      </c>
      <c r="D126" s="566" t="str">
        <f t="shared" si="57"/>
        <v/>
      </c>
      <c r="E126" s="47">
        <f t="shared" si="60"/>
        <v>454</v>
      </c>
      <c r="F126" s="570" t="str">
        <f>IF('Registro Original'!F126 = "", "", 'Registro Original'!F126)</f>
        <v/>
      </c>
      <c r="G126" s="571" t="str">
        <f t="shared" si="58"/>
        <v/>
      </c>
      <c r="I126" s="35"/>
      <c r="J126" s="35"/>
      <c r="K126" s="35"/>
      <c r="L126" s="35"/>
      <c r="M126" s="36"/>
      <c r="S126" s="22"/>
      <c r="X126" s="22"/>
      <c r="Y126" s="22"/>
      <c r="Z126" s="22"/>
      <c r="AA126" s="22"/>
      <c r="AB126" s="22"/>
      <c r="AC126" s="22"/>
      <c r="AD126" s="50">
        <v>667.9</v>
      </c>
      <c r="AE126" s="51">
        <v>85.938999999999993</v>
      </c>
      <c r="AF126" s="52">
        <f t="shared" si="20"/>
        <v>6.5809704143023909E-2</v>
      </c>
      <c r="AH126" s="22"/>
    </row>
    <row r="127" spans="1:34" ht="15" customHeight="1" thickTop="1">
      <c r="A127" s="60"/>
      <c r="B127" s="44">
        <f t="shared" ref="B127:B137" si="66">IF(ISNUMBER($G$45),B128+$G$45,"")</f>
        <v>465</v>
      </c>
      <c r="C127" s="567" t="str">
        <f>IF('Registro Original'!C127 = "", "", 'Registro Original'!C127)</f>
        <v/>
      </c>
      <c r="D127" s="565" t="str">
        <f t="shared" ref="D127:D138" si="67">IF(C127&lt;&gt;"",IF(C127=LARGE($C$127:$C$151,1),C127,""), "")</f>
        <v/>
      </c>
      <c r="E127" s="42">
        <f t="shared" ref="E127:E137" si="68">IF(ISNUMBER($G$45),E128+$K$45,"")</f>
        <v>459</v>
      </c>
      <c r="F127" s="568" t="str">
        <f>IF('Registro Original'!F127 = "", "", 'Registro Original'!F127)</f>
        <v/>
      </c>
      <c r="G127" s="36" t="str">
        <f t="shared" ref="G127:G138" si="69">IF(F127 &lt;&gt;"", IF(F127 = LARGE($F$127:$F$151,1), F127, ""), "")</f>
        <v/>
      </c>
      <c r="I127" s="35"/>
      <c r="J127" s="35"/>
      <c r="K127" s="35"/>
      <c r="L127" s="35"/>
      <c r="S127" s="22"/>
      <c r="U127" s="103" t="s">
        <v>88</v>
      </c>
      <c r="V127" s="104" t="s">
        <v>89</v>
      </c>
      <c r="W127" s="105" t="s">
        <v>90</v>
      </c>
      <c r="X127" s="104" t="s">
        <v>91</v>
      </c>
      <c r="Y127" s="106" t="s">
        <v>96</v>
      </c>
      <c r="Z127" s="626" t="s">
        <v>378</v>
      </c>
      <c r="AA127" s="627" t="s">
        <v>379</v>
      </c>
      <c r="AB127" s="627" t="s">
        <v>380</v>
      </c>
      <c r="AC127" s="632" t="s">
        <v>381</v>
      </c>
      <c r="AD127" s="50">
        <v>667.8</v>
      </c>
      <c r="AE127" s="51">
        <v>85.762</v>
      </c>
      <c r="AF127" s="52">
        <f t="shared" si="20"/>
        <v>6.6705099633163525E-2</v>
      </c>
      <c r="AH127" s="22"/>
    </row>
    <row r="128" spans="1:34" ht="15" customHeight="1" thickBot="1">
      <c r="A128" s="60"/>
      <c r="B128" s="42">
        <f t="shared" si="66"/>
        <v>464</v>
      </c>
      <c r="C128" s="569" t="str">
        <f>IF('Registro Original'!C128 = "", "", 'Registro Original'!C128)</f>
        <v/>
      </c>
      <c r="D128" s="565" t="str">
        <f t="shared" si="67"/>
        <v/>
      </c>
      <c r="E128" s="42">
        <f t="shared" si="68"/>
        <v>458.5</v>
      </c>
      <c r="F128" s="569" t="str">
        <f>IF('Registro Original'!F128 = "", "", 'Registro Original'!F128)</f>
        <v/>
      </c>
      <c r="G128" s="36" t="str">
        <f t="shared" si="69"/>
        <v/>
      </c>
      <c r="I128" s="35"/>
      <c r="J128" s="35"/>
      <c r="K128" s="35"/>
      <c r="L128" s="35"/>
      <c r="S128" s="22"/>
      <c r="U128" s="644">
        <v>450.6</v>
      </c>
      <c r="V128" s="643">
        <v>0.68140000000000001</v>
      </c>
      <c r="W128" s="645">
        <v>453.5</v>
      </c>
      <c r="X128" s="643">
        <v>1.2793000000000001</v>
      </c>
      <c r="Y128" s="646">
        <f>(V128 + X128)/2</f>
        <v>0.98035000000000005</v>
      </c>
      <c r="Z128" s="630">
        <f>AC128 - AB128</f>
        <v>2</v>
      </c>
      <c r="AA128" s="628">
        <f>X128 - Y128</f>
        <v>0.29895000000000005</v>
      </c>
      <c r="AB128" s="629">
        <v>452.6</v>
      </c>
      <c r="AC128" s="631">
        <v>454.6</v>
      </c>
      <c r="AD128" s="50">
        <v>667.7</v>
      </c>
      <c r="AE128" s="51">
        <v>85.534999999999997</v>
      </c>
      <c r="AF128" s="52">
        <f t="shared" si="20"/>
        <v>6.7856140283038074E-2</v>
      </c>
      <c r="AH128" s="22"/>
    </row>
    <row r="129" spans="1:94" ht="15" customHeight="1" thickBot="1">
      <c r="A129" s="60"/>
      <c r="B129" s="42">
        <f t="shared" si="66"/>
        <v>463</v>
      </c>
      <c r="C129" s="569" t="str">
        <f>IF('Registro Original'!C129 = "", "", 'Registro Original'!C129)</f>
        <v/>
      </c>
      <c r="D129" s="565" t="str">
        <f t="shared" si="67"/>
        <v/>
      </c>
      <c r="E129" s="42">
        <f t="shared" si="68"/>
        <v>458</v>
      </c>
      <c r="F129" s="569" t="str">
        <f>IF('Registro Original'!F129 = "", "", 'Registro Original'!F129)</f>
        <v/>
      </c>
      <c r="G129" s="36" t="str">
        <f t="shared" si="69"/>
        <v/>
      </c>
      <c r="I129" s="35"/>
      <c r="J129" s="35"/>
      <c r="K129" s="35"/>
      <c r="L129" s="35"/>
      <c r="S129" s="22"/>
      <c r="AD129" s="50">
        <v>667.6</v>
      </c>
      <c r="AE129" s="51">
        <v>85.373999999999995</v>
      </c>
      <c r="AF129" s="52">
        <f t="shared" si="20"/>
        <v>6.867437024482248E-2</v>
      </c>
      <c r="AG129" s="746" t="s">
        <v>95</v>
      </c>
      <c r="AH129" s="50">
        <v>447.4</v>
      </c>
      <c r="AI129" s="50">
        <f t="shared" ref="AI129:CP129" si="70">AH129+0.2</f>
        <v>447.59999999999997</v>
      </c>
      <c r="AJ129" s="50">
        <f t="shared" si="70"/>
        <v>447.79999999999995</v>
      </c>
      <c r="AK129" s="50">
        <f t="shared" si="70"/>
        <v>447.99999999999994</v>
      </c>
      <c r="AL129" s="50">
        <f t="shared" si="70"/>
        <v>448.19999999999993</v>
      </c>
      <c r="AM129" s="50">
        <f t="shared" si="70"/>
        <v>448.39999999999992</v>
      </c>
      <c r="AN129" s="50">
        <f t="shared" si="70"/>
        <v>448.59999999999991</v>
      </c>
      <c r="AO129" s="50">
        <f t="shared" si="70"/>
        <v>448.7999999999999</v>
      </c>
      <c r="AP129" s="50">
        <f t="shared" si="70"/>
        <v>448.99999999999989</v>
      </c>
      <c r="AQ129" s="50">
        <f t="shared" si="70"/>
        <v>449.19999999999987</v>
      </c>
      <c r="AR129" s="50">
        <f t="shared" si="70"/>
        <v>449.39999999999986</v>
      </c>
      <c r="AS129" s="50">
        <f t="shared" si="70"/>
        <v>449.59999999999985</v>
      </c>
      <c r="AT129" s="50">
        <f t="shared" si="70"/>
        <v>449.79999999999984</v>
      </c>
      <c r="AU129" s="50">
        <f t="shared" si="70"/>
        <v>449.99999999999983</v>
      </c>
      <c r="AV129" s="50">
        <f t="shared" si="70"/>
        <v>450.19999999999982</v>
      </c>
      <c r="AW129" s="50">
        <f t="shared" si="70"/>
        <v>450.39999999999981</v>
      </c>
      <c r="AX129" s="50">
        <f t="shared" si="70"/>
        <v>450.5999999999998</v>
      </c>
      <c r="AY129" s="50">
        <f t="shared" si="70"/>
        <v>450.79999999999978</v>
      </c>
      <c r="AZ129" s="50">
        <f t="shared" si="70"/>
        <v>450.99999999999977</v>
      </c>
      <c r="BA129" s="50">
        <f t="shared" si="70"/>
        <v>451.19999999999976</v>
      </c>
      <c r="BB129" s="50">
        <f t="shared" si="70"/>
        <v>451.39999999999975</v>
      </c>
      <c r="BC129" s="50">
        <f t="shared" si="70"/>
        <v>451.59999999999974</v>
      </c>
      <c r="BD129" s="50">
        <f t="shared" si="70"/>
        <v>451.79999999999973</v>
      </c>
      <c r="BE129" s="50">
        <f t="shared" si="70"/>
        <v>451.99999999999972</v>
      </c>
      <c r="BF129" s="50">
        <f t="shared" si="70"/>
        <v>452.1999999999997</v>
      </c>
      <c r="BG129" s="50">
        <f t="shared" si="70"/>
        <v>452.39999999999969</v>
      </c>
      <c r="BH129" s="50">
        <f t="shared" si="70"/>
        <v>452.59999999999968</v>
      </c>
      <c r="BI129" s="50">
        <f t="shared" si="70"/>
        <v>452.79999999999967</v>
      </c>
      <c r="BJ129" s="50">
        <f t="shared" si="70"/>
        <v>452.99999999999966</v>
      </c>
      <c r="BK129" s="50">
        <f t="shared" si="70"/>
        <v>453.19999999999965</v>
      </c>
      <c r="BL129" s="50">
        <f t="shared" si="70"/>
        <v>453.39999999999964</v>
      </c>
      <c r="BM129" s="50">
        <f t="shared" si="70"/>
        <v>453.59999999999962</v>
      </c>
      <c r="BN129" s="50">
        <f t="shared" si="70"/>
        <v>453.79999999999961</v>
      </c>
      <c r="BO129" s="50">
        <f t="shared" si="70"/>
        <v>453.9999999999996</v>
      </c>
      <c r="BP129" s="50">
        <f t="shared" si="70"/>
        <v>454.19999999999959</v>
      </c>
      <c r="BQ129" s="50">
        <f t="shared" si="70"/>
        <v>454.39999999999958</v>
      </c>
      <c r="BR129" s="50">
        <f t="shared" si="70"/>
        <v>454.59999999999957</v>
      </c>
      <c r="BS129" s="50">
        <f t="shared" si="70"/>
        <v>454.79999999999956</v>
      </c>
      <c r="BT129" s="50">
        <f t="shared" si="70"/>
        <v>454.99999999999955</v>
      </c>
      <c r="BU129" s="50">
        <f t="shared" si="70"/>
        <v>455.19999999999953</v>
      </c>
      <c r="BV129" s="50">
        <f t="shared" si="70"/>
        <v>455.39999999999952</v>
      </c>
      <c r="BW129" s="50">
        <f t="shared" si="70"/>
        <v>455.59999999999951</v>
      </c>
      <c r="BX129" s="50">
        <f t="shared" si="70"/>
        <v>455.7999999999995</v>
      </c>
      <c r="BY129" s="50">
        <f t="shared" si="70"/>
        <v>455.99999999999949</v>
      </c>
      <c r="BZ129" s="50">
        <f t="shared" si="70"/>
        <v>456.19999999999948</v>
      </c>
      <c r="CA129" s="50">
        <f t="shared" si="70"/>
        <v>456.39999999999947</v>
      </c>
      <c r="CB129" s="50">
        <f t="shared" si="70"/>
        <v>456.59999999999945</v>
      </c>
      <c r="CC129" s="50">
        <f t="shared" si="70"/>
        <v>456.79999999999944</v>
      </c>
      <c r="CD129" s="50">
        <f t="shared" si="70"/>
        <v>456.99999999999943</v>
      </c>
      <c r="CE129" s="50">
        <f t="shared" si="70"/>
        <v>457.19999999999942</v>
      </c>
      <c r="CF129" s="50">
        <f t="shared" si="70"/>
        <v>457.39999999999941</v>
      </c>
      <c r="CG129" s="50">
        <f t="shared" si="70"/>
        <v>457.5999999999994</v>
      </c>
      <c r="CH129" s="50">
        <f t="shared" si="70"/>
        <v>457.79999999999939</v>
      </c>
      <c r="CI129" s="50">
        <f t="shared" si="70"/>
        <v>457.99999999999937</v>
      </c>
      <c r="CJ129" s="50">
        <f t="shared" si="70"/>
        <v>458.19999999999936</v>
      </c>
      <c r="CK129" s="50">
        <f t="shared" si="70"/>
        <v>458.39999999999935</v>
      </c>
      <c r="CL129" s="50">
        <f t="shared" si="70"/>
        <v>458.59999999999934</v>
      </c>
      <c r="CM129" s="50">
        <f t="shared" si="70"/>
        <v>458.79999999999933</v>
      </c>
      <c r="CN129" s="50">
        <f t="shared" si="70"/>
        <v>458.99999999999932</v>
      </c>
      <c r="CO129" s="50">
        <f t="shared" si="70"/>
        <v>459.19999999999931</v>
      </c>
      <c r="CP129" s="50">
        <f t="shared" si="70"/>
        <v>459.3999999999993</v>
      </c>
    </row>
    <row r="130" spans="1:94" ht="15" customHeight="1" thickBot="1">
      <c r="A130" s="60"/>
      <c r="B130" s="42">
        <f t="shared" si="66"/>
        <v>462</v>
      </c>
      <c r="C130" s="569" t="str">
        <f>IF('Registro Original'!C130 = "", "", 'Registro Original'!C130)</f>
        <v/>
      </c>
      <c r="D130" s="565" t="str">
        <f t="shared" si="67"/>
        <v/>
      </c>
      <c r="E130" s="42">
        <f t="shared" si="68"/>
        <v>457.5</v>
      </c>
      <c r="F130" s="569" t="str">
        <f>IF('Registro Original'!F130 = "", "", 'Registro Original'!F130)</f>
        <v/>
      </c>
      <c r="G130" s="36" t="str">
        <f t="shared" si="69"/>
        <v/>
      </c>
      <c r="I130" s="35"/>
      <c r="J130" s="35"/>
      <c r="K130" s="35"/>
      <c r="L130" s="35"/>
      <c r="S130" s="22"/>
      <c r="U130" s="822" t="s">
        <v>374</v>
      </c>
      <c r="V130" s="823"/>
      <c r="W130" s="823"/>
      <c r="X130" s="823"/>
      <c r="Y130" s="823"/>
      <c r="Z130" s="823"/>
      <c r="AA130" s="824"/>
      <c r="AC130" s="640" t="s">
        <v>340</v>
      </c>
      <c r="AD130" s="50">
        <v>667.5</v>
      </c>
      <c r="AE130" s="51">
        <v>85.228999999999999</v>
      </c>
      <c r="AF130" s="52">
        <f t="shared" si="20"/>
        <v>6.9412607146158045E-2</v>
      </c>
      <c r="AG130" s="746"/>
      <c r="AH130" s="52">
        <f>$Y128</f>
        <v>0.98035000000000005</v>
      </c>
      <c r="AI130" s="52">
        <f t="shared" ref="AI130:CP130" si="71">AH130</f>
        <v>0.98035000000000005</v>
      </c>
      <c r="AJ130" s="52">
        <f t="shared" si="71"/>
        <v>0.98035000000000005</v>
      </c>
      <c r="AK130" s="52">
        <f t="shared" si="71"/>
        <v>0.98035000000000005</v>
      </c>
      <c r="AL130" s="52">
        <f t="shared" si="71"/>
        <v>0.98035000000000005</v>
      </c>
      <c r="AM130" s="52">
        <f t="shared" si="71"/>
        <v>0.98035000000000005</v>
      </c>
      <c r="AN130" s="52">
        <f t="shared" si="71"/>
        <v>0.98035000000000005</v>
      </c>
      <c r="AO130" s="52">
        <f t="shared" si="71"/>
        <v>0.98035000000000005</v>
      </c>
      <c r="AP130" s="52">
        <f t="shared" si="71"/>
        <v>0.98035000000000005</v>
      </c>
      <c r="AQ130" s="52">
        <f t="shared" si="71"/>
        <v>0.98035000000000005</v>
      </c>
      <c r="AR130" s="52">
        <f t="shared" si="71"/>
        <v>0.98035000000000005</v>
      </c>
      <c r="AS130" s="52">
        <f t="shared" si="71"/>
        <v>0.98035000000000005</v>
      </c>
      <c r="AT130" s="52">
        <f t="shared" si="71"/>
        <v>0.98035000000000005</v>
      </c>
      <c r="AU130" s="52">
        <f t="shared" si="71"/>
        <v>0.98035000000000005</v>
      </c>
      <c r="AV130" s="52">
        <f t="shared" si="71"/>
        <v>0.98035000000000005</v>
      </c>
      <c r="AW130" s="52">
        <f t="shared" si="71"/>
        <v>0.98035000000000005</v>
      </c>
      <c r="AX130" s="52">
        <f t="shared" si="71"/>
        <v>0.98035000000000005</v>
      </c>
      <c r="AY130" s="52">
        <f t="shared" si="71"/>
        <v>0.98035000000000005</v>
      </c>
      <c r="AZ130" s="52">
        <f t="shared" si="71"/>
        <v>0.98035000000000005</v>
      </c>
      <c r="BA130" s="52">
        <f t="shared" si="71"/>
        <v>0.98035000000000005</v>
      </c>
      <c r="BB130" s="52">
        <f t="shared" si="71"/>
        <v>0.98035000000000005</v>
      </c>
      <c r="BC130" s="52">
        <f t="shared" si="71"/>
        <v>0.98035000000000005</v>
      </c>
      <c r="BD130" s="52">
        <f t="shared" si="71"/>
        <v>0.98035000000000005</v>
      </c>
      <c r="BE130" s="52">
        <f t="shared" si="71"/>
        <v>0.98035000000000005</v>
      </c>
      <c r="BF130" s="52">
        <f t="shared" si="71"/>
        <v>0.98035000000000005</v>
      </c>
      <c r="BG130" s="52">
        <f t="shared" si="71"/>
        <v>0.98035000000000005</v>
      </c>
      <c r="BH130" s="52">
        <f t="shared" si="71"/>
        <v>0.98035000000000005</v>
      </c>
      <c r="BI130" s="52">
        <f t="shared" si="71"/>
        <v>0.98035000000000005</v>
      </c>
      <c r="BJ130" s="52">
        <f t="shared" si="71"/>
        <v>0.98035000000000005</v>
      </c>
      <c r="BK130" s="52">
        <f t="shared" si="71"/>
        <v>0.98035000000000005</v>
      </c>
      <c r="BL130" s="52">
        <f t="shared" si="71"/>
        <v>0.98035000000000005</v>
      </c>
      <c r="BM130" s="52">
        <f t="shared" si="71"/>
        <v>0.98035000000000005</v>
      </c>
      <c r="BN130" s="52">
        <f t="shared" si="71"/>
        <v>0.98035000000000005</v>
      </c>
      <c r="BO130" s="52">
        <f t="shared" si="71"/>
        <v>0.98035000000000005</v>
      </c>
      <c r="BP130" s="52">
        <f t="shared" si="71"/>
        <v>0.98035000000000005</v>
      </c>
      <c r="BQ130" s="52">
        <f t="shared" si="71"/>
        <v>0.98035000000000005</v>
      </c>
      <c r="BR130" s="52">
        <f t="shared" si="71"/>
        <v>0.98035000000000005</v>
      </c>
      <c r="BS130" s="52">
        <f t="shared" si="71"/>
        <v>0.98035000000000005</v>
      </c>
      <c r="BT130" s="52">
        <f t="shared" si="71"/>
        <v>0.98035000000000005</v>
      </c>
      <c r="BU130" s="52">
        <f t="shared" si="71"/>
        <v>0.98035000000000005</v>
      </c>
      <c r="BV130" s="52">
        <f t="shared" si="71"/>
        <v>0.98035000000000005</v>
      </c>
      <c r="BW130" s="52">
        <f t="shared" si="71"/>
        <v>0.98035000000000005</v>
      </c>
      <c r="BX130" s="52">
        <f t="shared" si="71"/>
        <v>0.98035000000000005</v>
      </c>
      <c r="BY130" s="52">
        <f t="shared" si="71"/>
        <v>0.98035000000000005</v>
      </c>
      <c r="BZ130" s="52">
        <f t="shared" si="71"/>
        <v>0.98035000000000005</v>
      </c>
      <c r="CA130" s="52">
        <f t="shared" si="71"/>
        <v>0.98035000000000005</v>
      </c>
      <c r="CB130" s="52">
        <f t="shared" si="71"/>
        <v>0.98035000000000005</v>
      </c>
      <c r="CC130" s="52">
        <f t="shared" si="71"/>
        <v>0.98035000000000005</v>
      </c>
      <c r="CD130" s="52">
        <f t="shared" si="71"/>
        <v>0.98035000000000005</v>
      </c>
      <c r="CE130" s="52">
        <f t="shared" si="71"/>
        <v>0.98035000000000005</v>
      </c>
      <c r="CF130" s="52">
        <f t="shared" si="71"/>
        <v>0.98035000000000005</v>
      </c>
      <c r="CG130" s="52">
        <f t="shared" si="71"/>
        <v>0.98035000000000005</v>
      </c>
      <c r="CH130" s="52">
        <f t="shared" si="71"/>
        <v>0.98035000000000005</v>
      </c>
      <c r="CI130" s="52">
        <f t="shared" si="71"/>
        <v>0.98035000000000005</v>
      </c>
      <c r="CJ130" s="52">
        <f t="shared" si="71"/>
        <v>0.98035000000000005</v>
      </c>
      <c r="CK130" s="52">
        <f t="shared" si="71"/>
        <v>0.98035000000000005</v>
      </c>
      <c r="CL130" s="52">
        <f t="shared" si="71"/>
        <v>0.98035000000000005</v>
      </c>
      <c r="CM130" s="52">
        <f t="shared" si="71"/>
        <v>0.98035000000000005</v>
      </c>
      <c r="CN130" s="52">
        <f t="shared" si="71"/>
        <v>0.98035000000000005</v>
      </c>
      <c r="CO130" s="52">
        <f t="shared" si="71"/>
        <v>0.98035000000000005</v>
      </c>
      <c r="CP130" s="52">
        <f t="shared" si="71"/>
        <v>0.98035000000000005</v>
      </c>
    </row>
    <row r="131" spans="1:94" ht="15" customHeight="1">
      <c r="A131" s="60"/>
      <c r="B131" s="42">
        <f t="shared" si="66"/>
        <v>461</v>
      </c>
      <c r="C131" s="569" t="str">
        <f>IF('Registro Original'!C131 = "", "", 'Registro Original'!C131)</f>
        <v/>
      </c>
      <c r="D131" s="565" t="str">
        <f t="shared" si="67"/>
        <v/>
      </c>
      <c r="E131" s="42">
        <f t="shared" si="68"/>
        <v>457</v>
      </c>
      <c r="F131" s="569" t="str">
        <f>IF('Registro Original'!F131 = "", "", 'Registro Original'!F131)</f>
        <v/>
      </c>
      <c r="G131" s="36" t="str">
        <f t="shared" si="69"/>
        <v/>
      </c>
      <c r="I131" s="35"/>
      <c r="J131" s="35"/>
      <c r="K131" s="35"/>
      <c r="L131" s="35"/>
      <c r="S131" s="22"/>
      <c r="U131" s="602" t="s">
        <v>359</v>
      </c>
      <c r="V131" s="88" t="s">
        <v>360</v>
      </c>
      <c r="W131" s="88" t="s">
        <v>361</v>
      </c>
      <c r="X131" s="88" t="s">
        <v>362</v>
      </c>
      <c r="Y131" s="88" t="s">
        <v>363</v>
      </c>
      <c r="Z131" s="88" t="s">
        <v>364</v>
      </c>
      <c r="AA131" s="603" t="s">
        <v>365</v>
      </c>
      <c r="AB131" s="735" t="s">
        <v>458</v>
      </c>
      <c r="AC131" s="736">
        <f>IF(U132="","",IF(AA132&lt;&gt;0, 6,5))</f>
        <v>5</v>
      </c>
      <c r="AD131" s="50">
        <v>667.4</v>
      </c>
      <c r="AE131" s="51">
        <v>85.108999999999995</v>
      </c>
      <c r="AF131" s="52">
        <f t="shared" si="20"/>
        <v>7.0024512257758673E-2</v>
      </c>
      <c r="AH131" s="22"/>
    </row>
    <row r="132" spans="1:94" ht="15" customHeight="1">
      <c r="A132" s="60"/>
      <c r="B132" s="42">
        <f t="shared" si="66"/>
        <v>460</v>
      </c>
      <c r="C132" s="569">
        <f>IF('Registro Original'!C132 = "", "", 'Registro Original'!C132)</f>
        <v>0.69099999999999995</v>
      </c>
      <c r="D132" s="565" t="str">
        <f t="shared" si="67"/>
        <v/>
      </c>
      <c r="E132" s="42">
        <f t="shared" si="68"/>
        <v>456.5</v>
      </c>
      <c r="F132" s="569">
        <f>IF('Registro Original'!F132 = "", "", 'Registro Original'!F132)</f>
        <v>0.68200000000000005</v>
      </c>
      <c r="G132" s="36" t="str">
        <f t="shared" si="69"/>
        <v/>
      </c>
      <c r="I132" s="35"/>
      <c r="J132" s="35"/>
      <c r="K132" s="35"/>
      <c r="L132" s="35"/>
      <c r="S132" s="22"/>
      <c r="U132" s="633">
        <v>-9532004588.9178905</v>
      </c>
      <c r="V132" s="612">
        <v>105224970.467335</v>
      </c>
      <c r="W132" s="612">
        <v>-464632.59006793</v>
      </c>
      <c r="X132" s="612">
        <v>1025.8097498739</v>
      </c>
      <c r="Y132" s="612">
        <v>-1.13237499986069</v>
      </c>
      <c r="Z132" s="612">
        <v>4.9999999993843901E-4</v>
      </c>
      <c r="AA132" s="634">
        <v>0</v>
      </c>
      <c r="AB132" s="737" t="s">
        <v>459</v>
      </c>
      <c r="AC132" s="732">
        <f>IF(AC131="", "",AC131 +1)</f>
        <v>6</v>
      </c>
      <c r="AD132" s="50">
        <v>667.3</v>
      </c>
      <c r="AE132" s="51">
        <v>84.887</v>
      </c>
      <c r="AF132" s="52">
        <f t="shared" si="20"/>
        <v>7.1158814591821259E-2</v>
      </c>
      <c r="AH132" s="22"/>
    </row>
    <row r="133" spans="1:94" ht="15" customHeight="1">
      <c r="A133" s="590" t="s">
        <v>352</v>
      </c>
      <c r="B133" s="42">
        <f t="shared" si="66"/>
        <v>459</v>
      </c>
      <c r="C133" s="569">
        <f>IF('Registro Original'!C133 = "", "", 'Registro Original'!C133)</f>
        <v>0.64400000000000002</v>
      </c>
      <c r="D133" s="565" t="str">
        <f t="shared" si="67"/>
        <v/>
      </c>
      <c r="E133" s="42">
        <f t="shared" si="68"/>
        <v>456</v>
      </c>
      <c r="F133" s="569">
        <f>IF('Registro Original'!F133 = "", "", 'Registro Original'!F133)</f>
        <v>0.63</v>
      </c>
      <c r="G133" s="36" t="str">
        <f t="shared" si="69"/>
        <v/>
      </c>
      <c r="I133" s="35"/>
      <c r="J133" s="35"/>
      <c r="K133" s="35"/>
      <c r="L133" s="35"/>
      <c r="S133" s="22"/>
      <c r="U133" s="606" t="s">
        <v>373</v>
      </c>
      <c r="V133" s="607" t="s">
        <v>369</v>
      </c>
      <c r="W133" s="601" t="s">
        <v>375</v>
      </c>
      <c r="X133" s="601" t="s">
        <v>367</v>
      </c>
      <c r="Y133" s="601" t="s">
        <v>368</v>
      </c>
      <c r="Z133" s="635" t="s">
        <v>370</v>
      </c>
      <c r="AA133" s="636" t="s">
        <v>369</v>
      </c>
      <c r="AB133" s="737" t="s">
        <v>460</v>
      </c>
      <c r="AC133" s="605">
        <f xml:space="preserve"> 0.999999945543643</f>
        <v>0.99999994554364302</v>
      </c>
      <c r="AD133" s="50">
        <v>667.2</v>
      </c>
      <c r="AE133" s="51">
        <v>84.605000000000004</v>
      </c>
      <c r="AF133" s="52">
        <f t="shared" ref="AF133:AF196" si="72">-LOG(AE133/100)</f>
        <v>7.2603970196871953E-2</v>
      </c>
      <c r="AH133" s="22"/>
    </row>
    <row r="134" spans="1:94" ht="15" customHeight="1">
      <c r="A134" s="61"/>
      <c r="B134" s="42">
        <f t="shared" si="66"/>
        <v>458</v>
      </c>
      <c r="C134" s="569">
        <f>IF('Registro Original'!C134 = "", "", 'Registro Original'!C134)</f>
        <v>0.59699999999999998</v>
      </c>
      <c r="D134" s="565" t="str">
        <f t="shared" si="67"/>
        <v/>
      </c>
      <c r="E134" s="42">
        <f t="shared" si="68"/>
        <v>455.5</v>
      </c>
      <c r="F134" s="569">
        <f>IF('Registro Original'!F134 = "", "", 'Registro Original'!F134)</f>
        <v>0.58699999999999997</v>
      </c>
      <c r="G134" s="36" t="str">
        <f t="shared" si="69"/>
        <v/>
      </c>
      <c r="S134" s="22"/>
      <c r="U134" s="608">
        <v>1</v>
      </c>
      <c r="V134" s="624">
        <v>453.6</v>
      </c>
      <c r="W134" s="604">
        <f xml:space="preserve"> $U$132 + $V$132*(V134) + $W$132*(V134^2) + $X$132*(V134^3) + $Y$132*(V134^4) + $Z$132*(V134^5) + $AA$132*(V134^6)</f>
        <v>0.68957138061523438</v>
      </c>
      <c r="X134" s="604">
        <f xml:space="preserve"> ($V$132 +  2*$W$132*(V134) +  3*$X$132*(V134^2) + 4*$Y$132*(V134^3) + 5*$Z$132*(V134^4) + 6*$AA$132*(V134^5))</f>
        <v>8.4808021783828735E-3</v>
      </c>
      <c r="Y134" s="617">
        <f xml:space="preserve"> (2*$W$132 + 6*$X$132*(V134) + 12*$Y$132*(V134^2) + 20*$Z$132*(V134^3) + 30*$AA$132*(V134^4))</f>
        <v>-3.5050001577474177E-2</v>
      </c>
      <c r="Z134" s="605">
        <f>V134 - (X134/Y134)</f>
        <v>453.84196296138924</v>
      </c>
      <c r="AA134" s="638">
        <v>451.91615882948207</v>
      </c>
      <c r="AB134" s="738" t="s">
        <v>461</v>
      </c>
      <c r="AC134" s="605">
        <f>IF(AC133="",  "", SQRT(AC133)/(AC132))</f>
        <v>0.16666666212863687</v>
      </c>
      <c r="AD134" s="50">
        <v>667.1</v>
      </c>
      <c r="AE134" s="51">
        <v>84.436999999999998</v>
      </c>
      <c r="AF134" s="52">
        <f t="shared" si="72"/>
        <v>7.3467205333481209E-2</v>
      </c>
      <c r="AH134" s="22"/>
    </row>
    <row r="135" spans="1:94" ht="15" customHeight="1">
      <c r="A135" s="60"/>
      <c r="B135" s="42">
        <f t="shared" si="66"/>
        <v>457</v>
      </c>
      <c r="C135" s="569">
        <f>IF('Registro Original'!C135 = "", "", 'Registro Original'!C135)</f>
        <v>0.58299999999999996</v>
      </c>
      <c r="D135" s="565" t="str">
        <f t="shared" si="67"/>
        <v/>
      </c>
      <c r="E135" s="42">
        <f t="shared" si="68"/>
        <v>455</v>
      </c>
      <c r="F135" s="569">
        <f>IF('Registro Original'!F135 = "", "", 'Registro Original'!F135)</f>
        <v>0.58799999999999997</v>
      </c>
      <c r="G135" s="36" t="str">
        <f t="shared" si="69"/>
        <v/>
      </c>
      <c r="S135" s="36"/>
      <c r="U135" s="608">
        <v>2</v>
      </c>
      <c r="V135" s="610">
        <f>Z134</f>
        <v>453.84196296138924</v>
      </c>
      <c r="W135" s="604">
        <f xml:space="preserve"> $U$132 + $V$132*(V135) + $W$132*(V135^2) + $X$132*(V135^3) + $Y$132*(V135^4) + $Z$132*(V135^5) + $AA$132*(V135^6)</f>
        <v>0.69048690795898438</v>
      </c>
      <c r="X135" s="604">
        <f xml:space="preserve"> ($V$132 +  2*$W$132*(V135) +  3*$X$132*(V135^2) + 4*$Y$132*(V135^3) + 5*$Z$132*(V135^4) + 6*$AA$132*(V135^5))</f>
        <v>-1.0672211647033691E-3</v>
      </c>
      <c r="Y135" s="617">
        <f xml:space="preserve"> (2*$W$132 + 6*$X$132*(V135) + 12*$Y$132*(V135^2) + 20*$Z$132*(V135^3) + 30*$AA$132*(V135^4))</f>
        <v>-4.3421015725471079E-2</v>
      </c>
      <c r="Z135" s="605">
        <f>V135 - (X135/Y135)</f>
        <v>453.81738451367511</v>
      </c>
      <c r="AA135" s="620" t="s">
        <v>371</v>
      </c>
      <c r="AB135" s="738" t="s">
        <v>463</v>
      </c>
      <c r="AC135" s="732">
        <f>COUNT(U132,U142)</f>
        <v>2</v>
      </c>
      <c r="AD135" s="50">
        <v>667</v>
      </c>
      <c r="AE135" s="51">
        <v>84.305999999999997</v>
      </c>
      <c r="AF135" s="52">
        <f t="shared" si="72"/>
        <v>7.41415158359469E-2</v>
      </c>
      <c r="AH135" s="36"/>
    </row>
    <row r="136" spans="1:94" ht="15" customHeight="1">
      <c r="A136" s="61"/>
      <c r="B136" s="42">
        <f t="shared" si="66"/>
        <v>456</v>
      </c>
      <c r="C136" s="569">
        <f>IF('Registro Original'!C136 = "", "", 'Registro Original'!C136)</f>
        <v>0.61099999999999999</v>
      </c>
      <c r="D136" s="565" t="str">
        <f t="shared" si="67"/>
        <v/>
      </c>
      <c r="E136" s="42">
        <f t="shared" si="68"/>
        <v>454.5</v>
      </c>
      <c r="F136" s="569">
        <f>IF('Registro Original'!F136 = "", "", 'Registro Original'!F136)</f>
        <v>0.625</v>
      </c>
      <c r="G136" s="36" t="str">
        <f t="shared" si="69"/>
        <v/>
      </c>
      <c r="S136" s="36"/>
      <c r="U136" s="608">
        <v>3</v>
      </c>
      <c r="V136" s="610">
        <f t="shared" ref="V136:V140" si="73">Z135</f>
        <v>453.81738451367511</v>
      </c>
      <c r="W136" s="604">
        <f t="shared" ref="W136:W140" si="74" xml:space="preserve"> $U$132 + $V$132*(V136) + $W$132*(V136^2) + $X$132*(V136^3) + $Y$132*(V136^4) + $Z$132*(V136^5) + $AA$132*(V136^6)</f>
        <v>0.69054031372070313</v>
      </c>
      <c r="X136" s="604">
        <f t="shared" ref="X136:X140" si="75" xml:space="preserve"> ($V$132 +  2*$W$132*(V136) +  3*$X$132*(V136^2) + 4*$Y$132*(V136^3) + 5*$Z$132*(V136^4) + 6*$AA$132*(V136^5))</f>
        <v>-8.9555978775024414E-6</v>
      </c>
      <c r="Y136" s="617">
        <f t="shared" ref="Y136:Y140" si="76" xml:space="preserve"> (2*$W$132 + 6*$X$132*(V136) + 12*$Y$132*(V136^2) + 20*$Z$132*(V136^3) + 30*$AA$132*(V136^4))</f>
        <v>-4.2699423735029995E-2</v>
      </c>
      <c r="Z136" s="605">
        <f t="shared" ref="Z136:Z140" si="77">V136 - (X136/Y136)</f>
        <v>453.81717477787322</v>
      </c>
      <c r="AA136" s="637">
        <f xml:space="preserve"> ($V$132 +  2*$W$132*(AA134) +  3*$X$132*(AA134^2) + 4*$Y$132*(AA134^3) + 5*$Z$132*(AA134^4) + 6*$AA$132*(AA134^5))</f>
        <v>-1.4901161193847656E-8</v>
      </c>
      <c r="AB136" s="739" t="s">
        <v>462</v>
      </c>
      <c r="AC136" s="634">
        <f>IF(AC134="", "", AC134/SQRT(AC135))</f>
        <v>0.11785112698888627</v>
      </c>
      <c r="AD136" s="50">
        <v>666.9</v>
      </c>
      <c r="AE136" s="51">
        <v>84.183999999999997</v>
      </c>
      <c r="AF136" s="52">
        <f t="shared" si="72"/>
        <v>7.4770442609664547E-2</v>
      </c>
      <c r="AH136" s="36"/>
    </row>
    <row r="137" spans="1:94" ht="15" customHeight="1">
      <c r="A137" s="60"/>
      <c r="B137" s="42">
        <f t="shared" si="66"/>
        <v>455</v>
      </c>
      <c r="C137" s="569">
        <f>IF('Registro Original'!C137 = "", "", 'Registro Original'!C137)</f>
        <v>0.65800000000000003</v>
      </c>
      <c r="D137" s="565" t="str">
        <f t="shared" si="67"/>
        <v/>
      </c>
      <c r="E137" s="42">
        <f t="shared" si="68"/>
        <v>454</v>
      </c>
      <c r="F137" s="569">
        <f>IF('Registro Original'!F137 = "", "", 'Registro Original'!F137)</f>
        <v>0.67100000000000004</v>
      </c>
      <c r="G137" s="36" t="str">
        <f t="shared" si="69"/>
        <v/>
      </c>
      <c r="S137" s="36"/>
      <c r="U137" s="608">
        <v>4</v>
      </c>
      <c r="V137" s="610">
        <f t="shared" si="73"/>
        <v>453.81717477787322</v>
      </c>
      <c r="W137" s="604">
        <f t="shared" si="74"/>
        <v>0.69052886962890625</v>
      </c>
      <c r="X137" s="604">
        <f t="shared" si="75"/>
        <v>2.9802322387695313E-8</v>
      </c>
      <c r="Y137" s="617">
        <f t="shared" si="76"/>
        <v>-4.2693129973486066E-2</v>
      </c>
      <c r="Z137" s="605">
        <f t="shared" si="77"/>
        <v>453.81717547593217</v>
      </c>
      <c r="AA137" s="621"/>
      <c r="AB137" s="36"/>
      <c r="AC137" s="36"/>
      <c r="AD137" s="50">
        <v>666.8</v>
      </c>
      <c r="AE137" s="51">
        <v>84.004999999999995</v>
      </c>
      <c r="AF137" s="52">
        <f t="shared" si="72"/>
        <v>7.5694863845440677E-2</v>
      </c>
      <c r="AH137" s="36"/>
    </row>
    <row r="138" spans="1:94" ht="15" customHeight="1">
      <c r="A138" s="59" t="s">
        <v>340</v>
      </c>
      <c r="B138" s="42">
        <f>IF(ISNUMBER($G$45),B139+$G$45,"")</f>
        <v>454</v>
      </c>
      <c r="C138" s="569">
        <f>IF('Registro Original'!C138 = "", "", 'Registro Original'!C138)</f>
        <v>0.69</v>
      </c>
      <c r="D138" s="565" t="str">
        <f t="shared" si="67"/>
        <v/>
      </c>
      <c r="E138" s="42">
        <f>IF(ISNUMBER($G$45),E139+$K$45,"")</f>
        <v>453.5</v>
      </c>
      <c r="F138" s="569">
        <f>IF('Registro Original'!F138 = "", "", 'Registro Original'!F138)</f>
        <v>0.69</v>
      </c>
      <c r="G138" s="36" t="str">
        <f t="shared" si="69"/>
        <v/>
      </c>
      <c r="S138" s="36"/>
      <c r="U138" s="608">
        <v>5</v>
      </c>
      <c r="V138" s="610">
        <f t="shared" si="73"/>
        <v>453.81717547593217</v>
      </c>
      <c r="W138" s="604">
        <f t="shared" si="74"/>
        <v>0.69050979614257813</v>
      </c>
      <c r="X138" s="604">
        <f t="shared" si="75"/>
        <v>1.4901161193847656E-8</v>
      </c>
      <c r="Y138" s="617">
        <f t="shared" si="76"/>
        <v>-4.2693150695413351E-2</v>
      </c>
      <c r="Z138" s="605">
        <f t="shared" si="77"/>
        <v>453.81717582496151</v>
      </c>
      <c r="AA138" s="621"/>
      <c r="AB138" s="36"/>
      <c r="AC138" s="36"/>
      <c r="AD138" s="50">
        <v>666.7</v>
      </c>
      <c r="AE138" s="51">
        <v>83.826999999999998</v>
      </c>
      <c r="AF138" s="52">
        <f t="shared" si="72"/>
        <v>7.6616076090588361E-2</v>
      </c>
      <c r="AH138" s="36"/>
    </row>
    <row r="139" spans="1:94" ht="15" customHeight="1">
      <c r="A139" s="45">
        <v>453.51</v>
      </c>
      <c r="B139" s="121">
        <v>453</v>
      </c>
      <c r="C139" s="569">
        <f>IF('Registro Original'!C139 = "", "", 'Registro Original'!C139)</f>
        <v>0.68</v>
      </c>
      <c r="D139" s="565" t="str">
        <f>IF(C139&lt;&gt;"",IF(C139=LARGE($C$127:$C$151,1),C139,""), "")</f>
        <v/>
      </c>
      <c r="E139" s="121">
        <v>453</v>
      </c>
      <c r="F139" s="569">
        <f>IF('Registro Original'!F139 = "", "", 'Registro Original'!F139)</f>
        <v>0.67500000000000004</v>
      </c>
      <c r="G139" s="36" t="str">
        <f>IF(F139 &lt;&gt;"", IF(F139 = LARGE($F$127:$F$151,1), F139, ""), "")</f>
        <v/>
      </c>
      <c r="S139" s="36"/>
      <c r="T139" s="22"/>
      <c r="U139" s="608">
        <v>6</v>
      </c>
      <c r="V139" s="610">
        <f t="shared" si="73"/>
        <v>453.81717582496151</v>
      </c>
      <c r="W139" s="604">
        <f t="shared" si="74"/>
        <v>0.6905364990234375</v>
      </c>
      <c r="X139" s="604">
        <f t="shared" si="75"/>
        <v>-4.4703483581542969E-8</v>
      </c>
      <c r="Y139" s="617">
        <f t="shared" si="76"/>
        <v>-4.2693161289207637E-2</v>
      </c>
      <c r="Z139" s="605">
        <f t="shared" si="77"/>
        <v>453.81717477787384</v>
      </c>
      <c r="AA139" s="621"/>
      <c r="AB139" s="36"/>
      <c r="AC139" s="36"/>
      <c r="AD139" s="50">
        <v>666.6</v>
      </c>
      <c r="AE139" s="51">
        <v>83.712000000000003</v>
      </c>
      <c r="AF139" s="52">
        <f t="shared" si="72"/>
        <v>7.7212282027864315E-2</v>
      </c>
      <c r="AH139" s="36"/>
    </row>
    <row r="140" spans="1:94" ht="15" customHeight="1" thickBot="1">
      <c r="A140" s="61"/>
      <c r="B140" s="42">
        <f>IF(ISNUMBER($G$45),B139-$G$45,"")</f>
        <v>452</v>
      </c>
      <c r="C140" s="569">
        <f>IF('Registro Original'!C140 = "", "", 'Registro Original'!C140)</f>
        <v>0.66400000000000003</v>
      </c>
      <c r="D140" s="565" t="str">
        <f t="shared" ref="D140:D151" si="78">IF(C140&lt;&gt;"",IF(C140=LARGE($C$127:$C$151,1),C140,""), "")</f>
        <v/>
      </c>
      <c r="E140" s="42">
        <f>IF(ISNUMBER($G$45),E139-$K$45,"")</f>
        <v>452.5</v>
      </c>
      <c r="F140" s="569">
        <f>IF('Registro Original'!F140 = "", "", 'Registro Original'!F140)</f>
        <v>0.66400000000000003</v>
      </c>
      <c r="G140" s="36" t="str">
        <f t="shared" ref="G140:G151" si="79">IF(F140 &lt;&gt;"", IF(F140 = LARGE($F$127:$F$151,1), F140, ""), "")</f>
        <v/>
      </c>
      <c r="S140" s="36"/>
      <c r="T140" s="22"/>
      <c r="U140" s="611">
        <v>7</v>
      </c>
      <c r="V140" s="657">
        <f t="shared" si="73"/>
        <v>453.81717477787384</v>
      </c>
      <c r="W140" s="612">
        <f t="shared" si="74"/>
        <v>0.69051170349121094</v>
      </c>
      <c r="X140" s="612">
        <f t="shared" si="75"/>
        <v>1.6391277313232422E-7</v>
      </c>
      <c r="Y140" s="618">
        <f t="shared" si="76"/>
        <v>-4.2693129740655422E-2</v>
      </c>
      <c r="Z140" s="634">
        <f t="shared" si="77"/>
        <v>453.81717861719818</v>
      </c>
      <c r="AA140" s="622"/>
      <c r="AB140" s="36"/>
      <c r="AC140" s="36"/>
      <c r="AD140" s="50">
        <v>666.5</v>
      </c>
      <c r="AE140" s="51">
        <v>83.55</v>
      </c>
      <c r="AF140" s="52">
        <f t="shared" si="72"/>
        <v>7.8053545770589844E-2</v>
      </c>
      <c r="AH140" s="36"/>
    </row>
    <row r="141" spans="1:94" ht="15" customHeight="1">
      <c r="A141" s="60"/>
      <c r="B141" s="42">
        <f t="shared" ref="B141:B151" si="80">IF(ISNUMBER($G$45),B140-$G$45,"")</f>
        <v>451</v>
      </c>
      <c r="C141" s="569">
        <f>IF('Registro Original'!C141 = "", "", 'Registro Original'!C141)</f>
        <v>0.68100000000000005</v>
      </c>
      <c r="D141" s="565" t="str">
        <f t="shared" si="78"/>
        <v/>
      </c>
      <c r="E141" s="42">
        <f t="shared" ref="E141:E151" si="81">IF(ISNUMBER($G$45),E140-$K$45,"")</f>
        <v>452</v>
      </c>
      <c r="F141" s="569">
        <f>IF('Registro Original'!F141 = "", "", 'Registro Original'!F141)</f>
        <v>0.69499999999999995</v>
      </c>
      <c r="G141" s="36" t="str">
        <f t="shared" si="79"/>
        <v/>
      </c>
      <c r="S141" s="22"/>
      <c r="T141" s="22"/>
      <c r="U141" s="602" t="s">
        <v>359</v>
      </c>
      <c r="V141" s="88" t="s">
        <v>360</v>
      </c>
      <c r="W141" s="88" t="s">
        <v>361</v>
      </c>
      <c r="X141" s="88" t="s">
        <v>362</v>
      </c>
      <c r="Y141" s="88" t="s">
        <v>363</v>
      </c>
      <c r="Z141" s="88" t="s">
        <v>364</v>
      </c>
      <c r="AA141" s="603" t="s">
        <v>365</v>
      </c>
      <c r="AB141" s="735" t="s">
        <v>458</v>
      </c>
      <c r="AC141" s="736">
        <f>IF(U142="","",IF(AA142&lt;&gt;0, 6,5))</f>
        <v>5</v>
      </c>
      <c r="AD141" s="50">
        <v>666.4</v>
      </c>
      <c r="AE141" s="51">
        <v>83.391999999999996</v>
      </c>
      <c r="AF141" s="52">
        <f t="shared" si="72"/>
        <v>7.8875610303528146E-2</v>
      </c>
      <c r="AH141" s="22"/>
    </row>
    <row r="142" spans="1:94" ht="15" customHeight="1">
      <c r="A142" s="60"/>
      <c r="B142" s="42">
        <f t="shared" si="80"/>
        <v>450</v>
      </c>
      <c r="C142" s="569">
        <f>IF('Registro Original'!C142 = "", "", 'Registro Original'!C142)</f>
        <v>0.745</v>
      </c>
      <c r="D142" s="565" t="str">
        <f t="shared" si="78"/>
        <v/>
      </c>
      <c r="E142" s="42">
        <f t="shared" si="81"/>
        <v>451.5</v>
      </c>
      <c r="F142" s="569">
        <f>IF('Registro Original'!F142 = "", "", 'Registro Original'!F142)</f>
        <v>0.77200000000000002</v>
      </c>
      <c r="G142" s="36" t="str">
        <f t="shared" si="79"/>
        <v/>
      </c>
      <c r="S142" s="22"/>
      <c r="T142" s="22"/>
      <c r="U142" s="633">
        <v>-7152797437.8054304</v>
      </c>
      <c r="V142" s="612">
        <v>78952570.582659304</v>
      </c>
      <c r="W142" s="612">
        <v>-348587.63159671403</v>
      </c>
      <c r="X142" s="612">
        <v>769.52554160439195</v>
      </c>
      <c r="Y142" s="612">
        <v>-0.84937499993144905</v>
      </c>
      <c r="Z142" s="612">
        <v>3.7499999996981598E-4</v>
      </c>
      <c r="AA142" s="634">
        <v>0</v>
      </c>
      <c r="AB142" s="737" t="s">
        <v>459</v>
      </c>
      <c r="AC142" s="732">
        <f>IF(AC141="", "",AC141 +1)</f>
        <v>6</v>
      </c>
      <c r="AD142" s="50">
        <v>666.3</v>
      </c>
      <c r="AE142" s="51">
        <v>83.197000000000003</v>
      </c>
      <c r="AF142" s="52">
        <f t="shared" si="72"/>
        <v>7.9892333648407796E-2</v>
      </c>
      <c r="AH142" s="22"/>
    </row>
    <row r="143" spans="1:94" ht="15" customHeight="1">
      <c r="A143" s="60"/>
      <c r="B143" s="42">
        <f t="shared" si="80"/>
        <v>449</v>
      </c>
      <c r="C143" s="569">
        <f>IF('Registro Original'!C143 = "", "", 'Registro Original'!C143)</f>
        <v>0.85399999999999998</v>
      </c>
      <c r="D143" s="565" t="str">
        <f t="shared" si="78"/>
        <v/>
      </c>
      <c r="E143" s="42">
        <f t="shared" si="81"/>
        <v>451</v>
      </c>
      <c r="F143" s="569">
        <f>IF('Registro Original'!F143 = "", "", 'Registro Original'!F143)</f>
        <v>0.89400000000000002</v>
      </c>
      <c r="G143" s="36" t="str">
        <f t="shared" si="79"/>
        <v/>
      </c>
      <c r="S143" s="22"/>
      <c r="T143" s="22"/>
      <c r="U143" s="606" t="s">
        <v>373</v>
      </c>
      <c r="V143" s="607" t="s">
        <v>369</v>
      </c>
      <c r="W143" s="601" t="s">
        <v>375</v>
      </c>
      <c r="X143" s="601" t="s">
        <v>367</v>
      </c>
      <c r="Y143" s="601" t="s">
        <v>368</v>
      </c>
      <c r="Z143" s="635" t="s">
        <v>370</v>
      </c>
      <c r="AA143" s="636" t="s">
        <v>369</v>
      </c>
      <c r="AB143" s="737" t="s">
        <v>460</v>
      </c>
      <c r="AC143" s="605">
        <f xml:space="preserve"> 1.00000001712162</f>
        <v>1.0000000171216199</v>
      </c>
      <c r="AD143" s="50">
        <v>666.2</v>
      </c>
      <c r="AE143" s="51">
        <v>83.015000000000001</v>
      </c>
      <c r="AF143" s="52">
        <f t="shared" si="72"/>
        <v>8.0843427760705563E-2</v>
      </c>
      <c r="AH143" s="22"/>
    </row>
    <row r="144" spans="1:94" ht="15" customHeight="1">
      <c r="A144" s="60"/>
      <c r="B144" s="42">
        <f t="shared" si="80"/>
        <v>448</v>
      </c>
      <c r="C144" s="569">
        <f>IF('Registro Original'!C144 = "", "", 'Registro Original'!C144)</f>
        <v>1.038</v>
      </c>
      <c r="D144" s="565" t="str">
        <f t="shared" si="78"/>
        <v/>
      </c>
      <c r="E144" s="42">
        <f t="shared" si="81"/>
        <v>450.5</v>
      </c>
      <c r="F144" s="569">
        <f>IF('Registro Original'!F144 = "", "", 'Registro Original'!F144)</f>
        <v>1.0780000000000001</v>
      </c>
      <c r="G144" s="36" t="str">
        <f t="shared" si="79"/>
        <v/>
      </c>
      <c r="S144" s="22"/>
      <c r="T144" s="22"/>
      <c r="U144" s="608">
        <v>1</v>
      </c>
      <c r="V144" s="642">
        <v>453.8</v>
      </c>
      <c r="W144" s="604">
        <f xml:space="preserve"> $U$132 + $V$132*(V144) + $W$132*(V144^2) + $X$132*(V144^3) + $Y$132*(V144^4) + $Z$132*(V144^5) + $AA$132*(V144^6)</f>
        <v>0.69051933288574219</v>
      </c>
      <c r="X144" s="604">
        <f xml:space="preserve"> ($V$132 +  2*$W$132*(V144) +  3*$X$132*(V144^2) + 4*$Y$132*(V144^3) + 5*$Z$132*(V144^4) + 6*$AA$132*(V144^5))</f>
        <v>7.2886049747467041E-4</v>
      </c>
      <c r="Y144" s="617">
        <f xml:space="preserve"> (2*$W$132 + 6*$X$132*(V144) + 12*$Y$132*(V144^2) + 20*$Z$132*(V144^3) + 30*$AA$132*(V144^4))</f>
        <v>-4.2170001426711679E-2</v>
      </c>
      <c r="Z144" s="605">
        <f>V144 - (X144/Y144)</f>
        <v>453.81728386229111</v>
      </c>
      <c r="AA144" s="639">
        <v>454.05416803674717</v>
      </c>
      <c r="AB144" s="738" t="s">
        <v>461</v>
      </c>
      <c r="AC144" s="605">
        <f>IF(AC143="",  "", SQRT(AC143)/(AC142))</f>
        <v>0.16666666809346831</v>
      </c>
      <c r="AD144" s="50">
        <v>666.1</v>
      </c>
      <c r="AE144" s="51">
        <v>82.831999999999994</v>
      </c>
      <c r="AF144" s="52">
        <f t="shared" si="72"/>
        <v>8.1801852362219291E-2</v>
      </c>
      <c r="AH144" s="22"/>
    </row>
    <row r="145" spans="1:94" ht="15" customHeight="1">
      <c r="A145" s="590" t="s">
        <v>351</v>
      </c>
      <c r="B145" s="42">
        <f t="shared" si="80"/>
        <v>447</v>
      </c>
      <c r="C145" s="569">
        <f>IF('Registro Original'!C145 = "", "", 'Registro Original'!C145)</f>
        <v>1.125</v>
      </c>
      <c r="D145" s="565">
        <f t="shared" si="78"/>
        <v>1.125</v>
      </c>
      <c r="E145" s="42">
        <f t="shared" si="81"/>
        <v>450</v>
      </c>
      <c r="F145" s="569">
        <f>IF('Registro Original'!F145 = "", "", 'Registro Original'!F145)</f>
        <v>1.115</v>
      </c>
      <c r="G145" s="36">
        <f t="shared" si="79"/>
        <v>1.115</v>
      </c>
      <c r="S145" s="22"/>
      <c r="T145" s="22"/>
      <c r="U145" s="608">
        <v>2</v>
      </c>
      <c r="V145" s="610">
        <f>Z144</f>
        <v>453.81728386229111</v>
      </c>
      <c r="W145" s="604">
        <f xml:space="preserve"> $U$132 + $V$132*(V145) + $W$132*(V145^2) + $X$132*(V145^3) + $Y$132*(V145^4) + $Z$132*(V145^5) + $AA$132*(V145^6)</f>
        <v>0.69053077697753906</v>
      </c>
      <c r="X145" s="604">
        <f xml:space="preserve"> ($V$132 +  2*$W$132*(V145) +  3*$X$132*(V145^2) + 4*$Y$132*(V145^3) + 5*$Z$132*(V145^4) + 6*$AA$132*(V145^5))</f>
        <v>-4.5299530029296875E-6</v>
      </c>
      <c r="Y145" s="617">
        <f xml:space="preserve"> (2*$W$132 + 6*$X$132*(V145) + 12*$Y$132*(V145^2) + 20*$Z$132*(V145^3) + 30*$AA$132*(V145^4))</f>
        <v>-4.2696403688751161E-2</v>
      </c>
      <c r="Z145" s="605">
        <f>V145 - (X145/Y145)</f>
        <v>453.81717776546299</v>
      </c>
      <c r="AA145" s="620" t="s">
        <v>371</v>
      </c>
      <c r="AB145" s="738" t="s">
        <v>463</v>
      </c>
      <c r="AC145" s="732">
        <f>COUNT(U132,U142)</f>
        <v>2</v>
      </c>
      <c r="AD145" s="50">
        <v>666</v>
      </c>
      <c r="AE145" s="51">
        <v>82.712999999999994</v>
      </c>
      <c r="AF145" s="52">
        <f t="shared" si="72"/>
        <v>8.2426227030716281E-2</v>
      </c>
      <c r="AH145" s="22"/>
    </row>
    <row r="146" spans="1:94" ht="15" customHeight="1">
      <c r="A146" s="60"/>
      <c r="B146" s="42">
        <f t="shared" si="80"/>
        <v>446</v>
      </c>
      <c r="C146" s="569" t="str">
        <f>IF('Registro Original'!C146 = "", "", 'Registro Original'!C146)</f>
        <v/>
      </c>
      <c r="D146" s="565" t="str">
        <f t="shared" si="78"/>
        <v/>
      </c>
      <c r="E146" s="42">
        <f t="shared" si="81"/>
        <v>449.5</v>
      </c>
      <c r="F146" s="569">
        <f>IF('Registro Original'!F146 = "", "", 'Registro Original'!F146)</f>
        <v>0.94199999999999995</v>
      </c>
      <c r="G146" s="36" t="str">
        <f t="shared" si="79"/>
        <v/>
      </c>
      <c r="S146" s="22"/>
      <c r="T146" s="22"/>
      <c r="U146" s="608">
        <v>3</v>
      </c>
      <c r="V146" s="610">
        <f t="shared" ref="V146:V150" si="82">Z145</f>
        <v>453.81717776546299</v>
      </c>
      <c r="W146" s="604">
        <f t="shared" ref="W146:W150" si="83" xml:space="preserve"> $U$132 + $V$132*(V146) + $W$132*(V146^2) + $X$132*(V146^3) + $Y$132*(V146^4) + $Z$132*(V146^5) + $AA$132*(V146^6)</f>
        <v>0.69053268432617188</v>
      </c>
      <c r="X146" s="604">
        <f t="shared" ref="X146:X150" si="84" xml:space="preserve"> ($V$132 +  2*$W$132*(V146) +  3*$X$132*(V146^2) + 4*$Y$132*(V146^3) + 5*$Z$132*(V146^4) + 6*$AA$132*(V146^5))</f>
        <v>-2.9802322387695313E-8</v>
      </c>
      <c r="Y146" s="617">
        <f t="shared" ref="Y146:Y150" si="85" xml:space="preserve"> (2*$W$132 + 6*$X$132*(V146) + 12*$Y$132*(V146^2) + 20*$Z$132*(V146^3) + 30*$AA$132*(V146^4))</f>
        <v>-4.2693218914791942E-2</v>
      </c>
      <c r="Z146" s="605">
        <f t="shared" ref="Z146:Z150" si="86">V146 - (X146/Y146)</f>
        <v>453.81717706740545</v>
      </c>
      <c r="AA146" s="637">
        <f xml:space="preserve"> ($V$142 +  2*$W$142*(AA144) +  3*$X$142*(AA144^2) + 4*$Y$142*(AA144^3) + 5*$Z$142*(AA144^4) + 6*$AA$142*(AA144^5))</f>
        <v>0</v>
      </c>
      <c r="AB146" s="739" t="s">
        <v>462</v>
      </c>
      <c r="AC146" s="634">
        <f>IF(AC144="", "", AC144/SQRT(AC145))</f>
        <v>0.11785113120665902</v>
      </c>
      <c r="AD146" s="50">
        <v>665.9</v>
      </c>
      <c r="AE146" s="51">
        <v>82.481999999999999</v>
      </c>
      <c r="AF146" s="52">
        <f t="shared" si="72"/>
        <v>8.3640816948193211E-2</v>
      </c>
      <c r="AH146" s="22"/>
    </row>
    <row r="147" spans="1:94" ht="15" customHeight="1">
      <c r="A147" s="60"/>
      <c r="B147" s="42">
        <f t="shared" si="80"/>
        <v>445</v>
      </c>
      <c r="C147" s="569" t="str">
        <f>IF('Registro Original'!C147 = "", "", 'Registro Original'!C147)</f>
        <v/>
      </c>
      <c r="D147" s="565" t="str">
        <f t="shared" si="78"/>
        <v/>
      </c>
      <c r="E147" s="42">
        <f t="shared" si="81"/>
        <v>449</v>
      </c>
      <c r="F147" s="569" t="str">
        <f>IF('Registro Original'!F147 = "", "", 'Registro Original'!F147)</f>
        <v/>
      </c>
      <c r="G147" s="36" t="str">
        <f t="shared" si="79"/>
        <v/>
      </c>
      <c r="S147" s="22"/>
      <c r="T147" s="22"/>
      <c r="U147" s="608">
        <v>4</v>
      </c>
      <c r="V147" s="610">
        <f t="shared" si="82"/>
        <v>453.81717706740545</v>
      </c>
      <c r="W147" s="604">
        <f t="shared" si="83"/>
        <v>0.690521240234375</v>
      </c>
      <c r="X147" s="604">
        <f t="shared" si="84"/>
        <v>1.4901161193847656E-8</v>
      </c>
      <c r="Y147" s="617">
        <f t="shared" si="85"/>
        <v>-4.2693198658525944E-2</v>
      </c>
      <c r="Z147" s="605">
        <f t="shared" si="86"/>
        <v>453.81717741643439</v>
      </c>
      <c r="AA147" s="621"/>
      <c r="AB147" s="22"/>
      <c r="AC147" s="22"/>
      <c r="AD147" s="50">
        <v>665.8</v>
      </c>
      <c r="AE147" s="51">
        <v>82.353999999999999</v>
      </c>
      <c r="AF147" s="52">
        <f t="shared" si="72"/>
        <v>8.4315301949735494E-2</v>
      </c>
      <c r="AH147" s="22"/>
    </row>
    <row r="148" spans="1:94" ht="15" customHeight="1">
      <c r="A148" s="60"/>
      <c r="B148" s="42">
        <f t="shared" si="80"/>
        <v>444</v>
      </c>
      <c r="C148" s="569" t="str">
        <f>IF('Registro Original'!C148 = "", "", 'Registro Original'!C148)</f>
        <v/>
      </c>
      <c r="D148" s="565" t="str">
        <f t="shared" si="78"/>
        <v/>
      </c>
      <c r="E148" s="42">
        <f t="shared" si="81"/>
        <v>448.5</v>
      </c>
      <c r="F148" s="569" t="str">
        <f>IF('Registro Original'!F148 = "", "", 'Registro Original'!F148)</f>
        <v/>
      </c>
      <c r="G148" s="36" t="str">
        <f t="shared" si="79"/>
        <v/>
      </c>
      <c r="S148" s="22"/>
      <c r="T148" s="22"/>
      <c r="U148" s="608">
        <v>5</v>
      </c>
      <c r="V148" s="610">
        <f t="shared" si="82"/>
        <v>453.81717741643439</v>
      </c>
      <c r="W148" s="604">
        <f t="shared" si="83"/>
        <v>0.69053268432617188</v>
      </c>
      <c r="X148" s="604">
        <f t="shared" si="84"/>
        <v>-8.9406967163085938E-8</v>
      </c>
      <c r="Y148" s="617">
        <f t="shared" si="85"/>
        <v>-4.2693208903074265E-2</v>
      </c>
      <c r="Z148" s="605">
        <f t="shared" si="86"/>
        <v>453.81717532226133</v>
      </c>
      <c r="AA148" s="621"/>
      <c r="AB148" s="22"/>
      <c r="AC148" s="22"/>
      <c r="AD148" s="50">
        <v>665.7</v>
      </c>
      <c r="AE148" s="51">
        <v>82.269000000000005</v>
      </c>
      <c r="AF148" s="52">
        <f t="shared" si="72"/>
        <v>8.4763781618339071E-2</v>
      </c>
      <c r="AH148" s="22"/>
    </row>
    <row r="149" spans="1:94" ht="15" customHeight="1">
      <c r="A149" s="60"/>
      <c r="B149" s="42">
        <f t="shared" si="80"/>
        <v>443</v>
      </c>
      <c r="C149" s="569" t="str">
        <f>IF('Registro Original'!C149 = "", "", 'Registro Original'!C149)</f>
        <v/>
      </c>
      <c r="D149" s="565" t="str">
        <f t="shared" si="78"/>
        <v/>
      </c>
      <c r="E149" s="42">
        <f t="shared" si="81"/>
        <v>448</v>
      </c>
      <c r="F149" s="569" t="str">
        <f>IF('Registro Original'!F149 = "", "", 'Registro Original'!F149)</f>
        <v/>
      </c>
      <c r="G149" s="36" t="str">
        <f t="shared" si="79"/>
        <v/>
      </c>
      <c r="S149" s="22"/>
      <c r="T149" s="22"/>
      <c r="U149" s="608">
        <v>6</v>
      </c>
      <c r="V149" s="610">
        <f t="shared" si="82"/>
        <v>453.81717532226133</v>
      </c>
      <c r="W149" s="604">
        <f t="shared" si="83"/>
        <v>0.69051933288574219</v>
      </c>
      <c r="X149" s="604">
        <f t="shared" si="84"/>
        <v>5.9604644775390625E-8</v>
      </c>
      <c r="Y149" s="617">
        <f t="shared" si="85"/>
        <v>-4.2693146388046443E-2</v>
      </c>
      <c r="Z149" s="605">
        <f t="shared" si="86"/>
        <v>453.81717671837873</v>
      </c>
      <c r="AA149" s="621"/>
      <c r="AB149" s="22"/>
      <c r="AC149" s="22"/>
      <c r="AD149" s="50">
        <v>665.6</v>
      </c>
      <c r="AE149" s="51">
        <v>82.14</v>
      </c>
      <c r="AF149" s="52">
        <f t="shared" si="72"/>
        <v>8.544530148236637E-2</v>
      </c>
      <c r="AH149" s="22"/>
    </row>
    <row r="150" spans="1:94" ht="15" customHeight="1">
      <c r="A150" s="60"/>
      <c r="B150" s="42">
        <f t="shared" si="80"/>
        <v>442</v>
      </c>
      <c r="C150" s="569" t="str">
        <f>IF('Registro Original'!C150 = "", "", 'Registro Original'!C150)</f>
        <v/>
      </c>
      <c r="D150" s="565" t="str">
        <f t="shared" si="78"/>
        <v/>
      </c>
      <c r="E150" s="42">
        <f t="shared" si="81"/>
        <v>447.5</v>
      </c>
      <c r="F150" s="569" t="str">
        <f>IF('Registro Original'!F150 = "", "", 'Registro Original'!F150)</f>
        <v/>
      </c>
      <c r="G150" s="36" t="str">
        <f t="shared" si="79"/>
        <v/>
      </c>
      <c r="S150" s="22"/>
      <c r="T150" s="22"/>
      <c r="U150" s="611">
        <v>7</v>
      </c>
      <c r="V150" s="658">
        <f t="shared" si="82"/>
        <v>453.81717671837873</v>
      </c>
      <c r="W150" s="612">
        <f t="shared" si="83"/>
        <v>0.6905364990234375</v>
      </c>
      <c r="X150" s="612">
        <f t="shared" si="84"/>
        <v>4.4703483581542969E-8</v>
      </c>
      <c r="Y150" s="618">
        <f t="shared" si="85"/>
        <v>-4.2693188297562301E-2</v>
      </c>
      <c r="Z150" s="634">
        <f t="shared" si="86"/>
        <v>453.81717776546577</v>
      </c>
      <c r="AA150" s="622"/>
      <c r="AB150" s="22"/>
      <c r="AC150" s="22"/>
      <c r="AD150" s="50">
        <v>665.5</v>
      </c>
      <c r="AE150" s="51">
        <v>82.171000000000006</v>
      </c>
      <c r="AF150" s="52">
        <f t="shared" si="72"/>
        <v>8.5281427741731322E-2</v>
      </c>
      <c r="AH150" s="22"/>
    </row>
    <row r="151" spans="1:94" ht="15" customHeight="1" thickBot="1">
      <c r="A151" s="43"/>
      <c r="B151" s="47">
        <f t="shared" si="80"/>
        <v>441</v>
      </c>
      <c r="C151" s="570" t="str">
        <f>IF('Registro Original'!C151 = "", "", 'Registro Original'!C151)</f>
        <v/>
      </c>
      <c r="D151" s="566" t="str">
        <f t="shared" si="78"/>
        <v/>
      </c>
      <c r="E151" s="47">
        <f t="shared" si="81"/>
        <v>447</v>
      </c>
      <c r="F151" s="570" t="str">
        <f>IF('Registro Original'!F151 = "", "", 'Registro Original'!F151)</f>
        <v/>
      </c>
      <c r="G151" s="571" t="str">
        <f t="shared" si="79"/>
        <v/>
      </c>
      <c r="S151" s="22"/>
      <c r="T151" s="22"/>
      <c r="U151" s="22"/>
      <c r="V151" s="22"/>
      <c r="W151" s="22"/>
      <c r="X151" s="22"/>
      <c r="Y151" s="22"/>
      <c r="Z151" s="22"/>
      <c r="AA151" s="22"/>
      <c r="AB151" s="22"/>
      <c r="AC151" s="22"/>
      <c r="AD151" s="50">
        <v>665.4</v>
      </c>
      <c r="AE151" s="51">
        <v>81.930999999999997</v>
      </c>
      <c r="AF151" s="52">
        <f t="shared" si="72"/>
        <v>8.6551744373711478E-2</v>
      </c>
      <c r="AH151" s="22"/>
    </row>
    <row r="152" spans="1:94" ht="15" customHeight="1" thickTop="1">
      <c r="A152" s="60"/>
      <c r="B152" s="44">
        <f t="shared" ref="B152:B162" si="87">IF(ISNUMBER($G$45),B153+$G$45,"")</f>
        <v>458</v>
      </c>
      <c r="C152" s="568" t="str">
        <f>IF('Registro Original'!C152 = "", "", 'Registro Original'!C152)</f>
        <v/>
      </c>
      <c r="D152" s="565" t="str">
        <f t="shared" ref="D152:D163" si="88">IF(C152&lt;&gt;"",IF(C152=LARGE($C$152:$C$176,1),C152,""),"")</f>
        <v/>
      </c>
      <c r="E152" s="42">
        <f t="shared" ref="E152:E162" si="89">IF(ISNUMBER($G$45),E153+$K$45,"")</f>
        <v>452</v>
      </c>
      <c r="F152" s="568" t="str">
        <f>IF('Registro Original'!F152 = "", "", 'Registro Original'!F152)</f>
        <v/>
      </c>
      <c r="G152" s="36" t="str">
        <f t="shared" ref="G152:G163" si="90">IF(F152 &lt;&gt;"", IF(F152 = LARGE($F$152:$F$176,1), F152, ""), "")</f>
        <v/>
      </c>
      <c r="S152" s="22"/>
      <c r="T152" s="22"/>
      <c r="U152" s="103" t="s">
        <v>88</v>
      </c>
      <c r="V152" s="104" t="s">
        <v>89</v>
      </c>
      <c r="W152" s="105" t="s">
        <v>90</v>
      </c>
      <c r="X152" s="104" t="s">
        <v>91</v>
      </c>
      <c r="Y152" s="106" t="s">
        <v>96</v>
      </c>
      <c r="Z152" s="626" t="s">
        <v>378</v>
      </c>
      <c r="AA152" s="627" t="s">
        <v>379</v>
      </c>
      <c r="AB152" s="627" t="s">
        <v>380</v>
      </c>
      <c r="AC152" s="632" t="s">
        <v>381</v>
      </c>
      <c r="AD152" s="50">
        <v>665.3</v>
      </c>
      <c r="AE152" s="51">
        <v>81.78</v>
      </c>
      <c r="AF152" s="52">
        <f t="shared" si="72"/>
        <v>8.735289378168283E-2</v>
      </c>
      <c r="AH152" s="22"/>
    </row>
    <row r="153" spans="1:94" ht="15" customHeight="1" thickBot="1">
      <c r="A153" s="60"/>
      <c r="B153" s="42">
        <f t="shared" si="87"/>
        <v>457</v>
      </c>
      <c r="C153" s="569" t="str">
        <f>IF('Registro Original'!C153 = "", "", 'Registro Original'!C153)</f>
        <v/>
      </c>
      <c r="D153" s="565" t="str">
        <f t="shared" si="88"/>
        <v/>
      </c>
      <c r="E153" s="42">
        <f t="shared" si="89"/>
        <v>451.5</v>
      </c>
      <c r="F153" s="569" t="str">
        <f>IF('Registro Original'!F153 = "", "", 'Registro Original'!F153)</f>
        <v/>
      </c>
      <c r="G153" s="36" t="str">
        <f t="shared" si="90"/>
        <v/>
      </c>
      <c r="S153" s="22"/>
      <c r="T153" s="22"/>
      <c r="U153" s="644">
        <v>450.6</v>
      </c>
      <c r="V153" s="643">
        <v>0.68140000000000001</v>
      </c>
      <c r="W153" s="645">
        <v>445.6</v>
      </c>
      <c r="X153" s="643">
        <v>3.1204999999999998</v>
      </c>
      <c r="Y153" s="646">
        <f>(V153 + X153)/2</f>
        <v>1.9009499999999999</v>
      </c>
      <c r="Z153" s="630">
        <f>AC153 - AB153</f>
        <v>3.2000000000000455</v>
      </c>
      <c r="AA153" s="628">
        <f>X153 - Y153</f>
        <v>1.2195499999999999</v>
      </c>
      <c r="AB153" s="629">
        <v>444.4</v>
      </c>
      <c r="AC153" s="631">
        <v>447.6</v>
      </c>
      <c r="AD153" s="50">
        <v>665.2</v>
      </c>
      <c r="AE153" s="51">
        <v>81.650000000000006</v>
      </c>
      <c r="AF153" s="52">
        <f t="shared" si="72"/>
        <v>8.8043810927313032E-2</v>
      </c>
      <c r="AH153" s="22"/>
    </row>
    <row r="154" spans="1:94" ht="15" customHeight="1" thickBot="1">
      <c r="A154" s="60"/>
      <c r="B154" s="42">
        <f t="shared" si="87"/>
        <v>456</v>
      </c>
      <c r="C154" s="569" t="str">
        <f>IF('Registro Original'!C154 = "", "", 'Registro Original'!C154)</f>
        <v/>
      </c>
      <c r="D154" s="565" t="str">
        <f t="shared" si="88"/>
        <v/>
      </c>
      <c r="E154" s="42">
        <f t="shared" si="89"/>
        <v>451</v>
      </c>
      <c r="F154" s="569" t="str">
        <f>IF('Registro Original'!F154 = "", "", 'Registro Original'!F154)</f>
        <v/>
      </c>
      <c r="G154" s="36" t="str">
        <f t="shared" si="90"/>
        <v/>
      </c>
      <c r="S154" s="22"/>
      <c r="T154" s="22"/>
      <c r="AD154" s="50">
        <v>665.1</v>
      </c>
      <c r="AE154" s="51">
        <v>81.503</v>
      </c>
      <c r="AF154" s="52">
        <f t="shared" si="72"/>
        <v>8.8826405254295165E-2</v>
      </c>
      <c r="AG154" s="746" t="s">
        <v>95</v>
      </c>
      <c r="AH154" s="50">
        <v>440</v>
      </c>
      <c r="AI154" s="50">
        <f t="shared" ref="AI154:CP154" si="91">AH154+0.2</f>
        <v>440.2</v>
      </c>
      <c r="AJ154" s="50">
        <f t="shared" si="91"/>
        <v>440.4</v>
      </c>
      <c r="AK154" s="50">
        <f t="shared" si="91"/>
        <v>440.59999999999997</v>
      </c>
      <c r="AL154" s="50">
        <f t="shared" si="91"/>
        <v>440.79999999999995</v>
      </c>
      <c r="AM154" s="50">
        <f t="shared" si="91"/>
        <v>440.99999999999994</v>
      </c>
      <c r="AN154" s="50">
        <f t="shared" si="91"/>
        <v>441.19999999999993</v>
      </c>
      <c r="AO154" s="50">
        <f t="shared" si="91"/>
        <v>441.39999999999992</v>
      </c>
      <c r="AP154" s="50">
        <f t="shared" si="91"/>
        <v>441.59999999999991</v>
      </c>
      <c r="AQ154" s="50">
        <f t="shared" si="91"/>
        <v>441.7999999999999</v>
      </c>
      <c r="AR154" s="50">
        <f t="shared" si="91"/>
        <v>441.99999999999989</v>
      </c>
      <c r="AS154" s="50">
        <f t="shared" si="91"/>
        <v>442.19999999999987</v>
      </c>
      <c r="AT154" s="50">
        <f t="shared" si="91"/>
        <v>442.39999999999986</v>
      </c>
      <c r="AU154" s="50">
        <f t="shared" si="91"/>
        <v>442.59999999999985</v>
      </c>
      <c r="AV154" s="50">
        <f t="shared" si="91"/>
        <v>442.79999999999984</v>
      </c>
      <c r="AW154" s="50">
        <f t="shared" si="91"/>
        <v>442.99999999999983</v>
      </c>
      <c r="AX154" s="50">
        <f t="shared" si="91"/>
        <v>443.19999999999982</v>
      </c>
      <c r="AY154" s="50">
        <f t="shared" si="91"/>
        <v>443.39999999999981</v>
      </c>
      <c r="AZ154" s="50">
        <f t="shared" si="91"/>
        <v>443.5999999999998</v>
      </c>
      <c r="BA154" s="50">
        <f t="shared" si="91"/>
        <v>443.79999999999978</v>
      </c>
      <c r="BB154" s="50">
        <f t="shared" si="91"/>
        <v>443.99999999999977</v>
      </c>
      <c r="BC154" s="50">
        <f t="shared" si="91"/>
        <v>444.19999999999976</v>
      </c>
      <c r="BD154" s="50">
        <f t="shared" si="91"/>
        <v>444.39999999999975</v>
      </c>
      <c r="BE154" s="50">
        <f t="shared" si="91"/>
        <v>444.59999999999974</v>
      </c>
      <c r="BF154" s="50">
        <f t="shared" si="91"/>
        <v>444.79999999999973</v>
      </c>
      <c r="BG154" s="50">
        <f t="shared" si="91"/>
        <v>444.99999999999972</v>
      </c>
      <c r="BH154" s="50">
        <f t="shared" si="91"/>
        <v>445.1999999999997</v>
      </c>
      <c r="BI154" s="50">
        <f t="shared" si="91"/>
        <v>445.39999999999969</v>
      </c>
      <c r="BJ154" s="50">
        <f t="shared" si="91"/>
        <v>445.59999999999968</v>
      </c>
      <c r="BK154" s="50">
        <f t="shared" si="91"/>
        <v>445.79999999999967</v>
      </c>
      <c r="BL154" s="50">
        <f t="shared" si="91"/>
        <v>445.99999999999966</v>
      </c>
      <c r="BM154" s="50">
        <f t="shared" si="91"/>
        <v>446.19999999999965</v>
      </c>
      <c r="BN154" s="50">
        <f t="shared" si="91"/>
        <v>446.39999999999964</v>
      </c>
      <c r="BO154" s="50">
        <f t="shared" si="91"/>
        <v>446.59999999999962</v>
      </c>
      <c r="BP154" s="50">
        <f t="shared" si="91"/>
        <v>446.79999999999961</v>
      </c>
      <c r="BQ154" s="50">
        <f t="shared" si="91"/>
        <v>446.9999999999996</v>
      </c>
      <c r="BR154" s="50">
        <f t="shared" si="91"/>
        <v>447.19999999999959</v>
      </c>
      <c r="BS154" s="50">
        <f t="shared" si="91"/>
        <v>447.39999999999958</v>
      </c>
      <c r="BT154" s="50">
        <f t="shared" si="91"/>
        <v>447.59999999999957</v>
      </c>
      <c r="BU154" s="50">
        <f t="shared" si="91"/>
        <v>447.79999999999956</v>
      </c>
      <c r="BV154" s="50">
        <f t="shared" si="91"/>
        <v>447.99999999999955</v>
      </c>
      <c r="BW154" s="50">
        <f t="shared" si="91"/>
        <v>448.19999999999953</v>
      </c>
      <c r="BX154" s="50">
        <f t="shared" si="91"/>
        <v>448.39999999999952</v>
      </c>
      <c r="BY154" s="50">
        <f t="shared" si="91"/>
        <v>448.59999999999951</v>
      </c>
      <c r="BZ154" s="50">
        <f t="shared" si="91"/>
        <v>448.7999999999995</v>
      </c>
      <c r="CA154" s="50">
        <f t="shared" si="91"/>
        <v>448.99999999999949</v>
      </c>
      <c r="CB154" s="50">
        <f t="shared" si="91"/>
        <v>449.19999999999948</v>
      </c>
      <c r="CC154" s="50">
        <f t="shared" si="91"/>
        <v>449.39999999999947</v>
      </c>
      <c r="CD154" s="50">
        <f t="shared" si="91"/>
        <v>449.59999999999945</v>
      </c>
      <c r="CE154" s="50">
        <f t="shared" si="91"/>
        <v>449.79999999999944</v>
      </c>
      <c r="CF154" s="50">
        <f t="shared" si="91"/>
        <v>449.99999999999943</v>
      </c>
      <c r="CG154" s="50">
        <f t="shared" si="91"/>
        <v>450.19999999999942</v>
      </c>
      <c r="CH154" s="50">
        <f t="shared" si="91"/>
        <v>450.39999999999941</v>
      </c>
      <c r="CI154" s="50">
        <f t="shared" si="91"/>
        <v>450.5999999999994</v>
      </c>
      <c r="CJ154" s="50">
        <f t="shared" si="91"/>
        <v>450.79999999999939</v>
      </c>
      <c r="CK154" s="50">
        <f t="shared" si="91"/>
        <v>450.99999999999937</v>
      </c>
      <c r="CL154" s="50">
        <f t="shared" si="91"/>
        <v>451.19999999999936</v>
      </c>
      <c r="CM154" s="50">
        <f t="shared" si="91"/>
        <v>451.39999999999935</v>
      </c>
      <c r="CN154" s="50">
        <f t="shared" si="91"/>
        <v>451.59999999999934</v>
      </c>
      <c r="CO154" s="50">
        <f t="shared" si="91"/>
        <v>451.79999999999933</v>
      </c>
      <c r="CP154" s="50">
        <f t="shared" si="91"/>
        <v>451.99999999999932</v>
      </c>
    </row>
    <row r="155" spans="1:94" ht="15" customHeight="1" thickBot="1">
      <c r="A155" s="60"/>
      <c r="B155" s="42">
        <f t="shared" si="87"/>
        <v>455</v>
      </c>
      <c r="C155" s="569" t="str">
        <f>IF('Registro Original'!C155 = "", "", 'Registro Original'!C155)</f>
        <v/>
      </c>
      <c r="D155" s="565" t="str">
        <f t="shared" si="88"/>
        <v/>
      </c>
      <c r="E155" s="42">
        <f t="shared" si="89"/>
        <v>450.5</v>
      </c>
      <c r="F155" s="569" t="str">
        <f>IF('Registro Original'!F155 = "", "", 'Registro Original'!F155)</f>
        <v/>
      </c>
      <c r="G155" s="36" t="str">
        <f t="shared" si="90"/>
        <v/>
      </c>
      <c r="S155" s="22"/>
      <c r="T155" s="22"/>
      <c r="U155" s="822" t="s">
        <v>374</v>
      </c>
      <c r="V155" s="823"/>
      <c r="W155" s="823"/>
      <c r="X155" s="823"/>
      <c r="Y155" s="823"/>
      <c r="Z155" s="823"/>
      <c r="AA155" s="824"/>
      <c r="AC155" s="640" t="s">
        <v>342</v>
      </c>
      <c r="AD155" s="50">
        <v>665</v>
      </c>
      <c r="AE155" s="51">
        <v>81.337000000000003</v>
      </c>
      <c r="AF155" s="52">
        <f t="shared" si="72"/>
        <v>8.9711849972652261E-2</v>
      </c>
      <c r="AG155" s="746"/>
      <c r="AH155" s="52">
        <f>$Y153</f>
        <v>1.9009499999999999</v>
      </c>
      <c r="AI155" s="52">
        <f t="shared" ref="AI155:CP155" si="92">AH155</f>
        <v>1.9009499999999999</v>
      </c>
      <c r="AJ155" s="52">
        <f t="shared" si="92"/>
        <v>1.9009499999999999</v>
      </c>
      <c r="AK155" s="52">
        <f t="shared" si="92"/>
        <v>1.9009499999999999</v>
      </c>
      <c r="AL155" s="52">
        <f t="shared" si="92"/>
        <v>1.9009499999999999</v>
      </c>
      <c r="AM155" s="52">
        <f t="shared" si="92"/>
        <v>1.9009499999999999</v>
      </c>
      <c r="AN155" s="52">
        <f t="shared" si="92"/>
        <v>1.9009499999999999</v>
      </c>
      <c r="AO155" s="52">
        <f t="shared" si="92"/>
        <v>1.9009499999999999</v>
      </c>
      <c r="AP155" s="52">
        <f t="shared" si="92"/>
        <v>1.9009499999999999</v>
      </c>
      <c r="AQ155" s="52">
        <f t="shared" si="92"/>
        <v>1.9009499999999999</v>
      </c>
      <c r="AR155" s="52">
        <f t="shared" si="92"/>
        <v>1.9009499999999999</v>
      </c>
      <c r="AS155" s="52">
        <f t="shared" si="92"/>
        <v>1.9009499999999999</v>
      </c>
      <c r="AT155" s="52">
        <f t="shared" si="92"/>
        <v>1.9009499999999999</v>
      </c>
      <c r="AU155" s="52">
        <f t="shared" si="92"/>
        <v>1.9009499999999999</v>
      </c>
      <c r="AV155" s="52">
        <f t="shared" si="92"/>
        <v>1.9009499999999999</v>
      </c>
      <c r="AW155" s="52">
        <f t="shared" si="92"/>
        <v>1.9009499999999999</v>
      </c>
      <c r="AX155" s="52">
        <f t="shared" si="92"/>
        <v>1.9009499999999999</v>
      </c>
      <c r="AY155" s="52">
        <f t="shared" si="92"/>
        <v>1.9009499999999999</v>
      </c>
      <c r="AZ155" s="52">
        <f t="shared" si="92"/>
        <v>1.9009499999999999</v>
      </c>
      <c r="BA155" s="52">
        <f t="shared" si="92"/>
        <v>1.9009499999999999</v>
      </c>
      <c r="BB155" s="52">
        <f t="shared" si="92"/>
        <v>1.9009499999999999</v>
      </c>
      <c r="BC155" s="52">
        <f t="shared" si="92"/>
        <v>1.9009499999999999</v>
      </c>
      <c r="BD155" s="52">
        <f t="shared" si="92"/>
        <v>1.9009499999999999</v>
      </c>
      <c r="BE155" s="52">
        <f t="shared" si="92"/>
        <v>1.9009499999999999</v>
      </c>
      <c r="BF155" s="52">
        <f t="shared" si="92"/>
        <v>1.9009499999999999</v>
      </c>
      <c r="BG155" s="52">
        <f t="shared" si="92"/>
        <v>1.9009499999999999</v>
      </c>
      <c r="BH155" s="52">
        <f t="shared" si="92"/>
        <v>1.9009499999999999</v>
      </c>
      <c r="BI155" s="52">
        <f t="shared" si="92"/>
        <v>1.9009499999999999</v>
      </c>
      <c r="BJ155" s="52">
        <f t="shared" si="92"/>
        <v>1.9009499999999999</v>
      </c>
      <c r="BK155" s="52">
        <f t="shared" si="92"/>
        <v>1.9009499999999999</v>
      </c>
      <c r="BL155" s="52">
        <f t="shared" si="92"/>
        <v>1.9009499999999999</v>
      </c>
      <c r="BM155" s="52">
        <f t="shared" si="92"/>
        <v>1.9009499999999999</v>
      </c>
      <c r="BN155" s="52">
        <f t="shared" si="92"/>
        <v>1.9009499999999999</v>
      </c>
      <c r="BO155" s="52">
        <f t="shared" si="92"/>
        <v>1.9009499999999999</v>
      </c>
      <c r="BP155" s="52">
        <f t="shared" si="92"/>
        <v>1.9009499999999999</v>
      </c>
      <c r="BQ155" s="52">
        <f t="shared" si="92"/>
        <v>1.9009499999999999</v>
      </c>
      <c r="BR155" s="52">
        <f t="shared" si="92"/>
        <v>1.9009499999999999</v>
      </c>
      <c r="BS155" s="52">
        <f t="shared" si="92"/>
        <v>1.9009499999999999</v>
      </c>
      <c r="BT155" s="52">
        <f t="shared" si="92"/>
        <v>1.9009499999999999</v>
      </c>
      <c r="BU155" s="52">
        <f t="shared" si="92"/>
        <v>1.9009499999999999</v>
      </c>
      <c r="BV155" s="52">
        <f t="shared" si="92"/>
        <v>1.9009499999999999</v>
      </c>
      <c r="BW155" s="52">
        <f t="shared" si="92"/>
        <v>1.9009499999999999</v>
      </c>
      <c r="BX155" s="52">
        <f t="shared" si="92"/>
        <v>1.9009499999999999</v>
      </c>
      <c r="BY155" s="52">
        <f t="shared" si="92"/>
        <v>1.9009499999999999</v>
      </c>
      <c r="BZ155" s="52">
        <f t="shared" si="92"/>
        <v>1.9009499999999999</v>
      </c>
      <c r="CA155" s="52">
        <f t="shared" si="92"/>
        <v>1.9009499999999999</v>
      </c>
      <c r="CB155" s="52">
        <f t="shared" si="92"/>
        <v>1.9009499999999999</v>
      </c>
      <c r="CC155" s="52">
        <f t="shared" si="92"/>
        <v>1.9009499999999999</v>
      </c>
      <c r="CD155" s="52">
        <f t="shared" si="92"/>
        <v>1.9009499999999999</v>
      </c>
      <c r="CE155" s="52">
        <f t="shared" si="92"/>
        <v>1.9009499999999999</v>
      </c>
      <c r="CF155" s="52">
        <f t="shared" si="92"/>
        <v>1.9009499999999999</v>
      </c>
      <c r="CG155" s="52">
        <f t="shared" si="92"/>
        <v>1.9009499999999999</v>
      </c>
      <c r="CH155" s="52">
        <f t="shared" si="92"/>
        <v>1.9009499999999999</v>
      </c>
      <c r="CI155" s="52">
        <f t="shared" si="92"/>
        <v>1.9009499999999999</v>
      </c>
      <c r="CJ155" s="52">
        <f t="shared" si="92"/>
        <v>1.9009499999999999</v>
      </c>
      <c r="CK155" s="52">
        <f t="shared" si="92"/>
        <v>1.9009499999999999</v>
      </c>
      <c r="CL155" s="52">
        <f t="shared" si="92"/>
        <v>1.9009499999999999</v>
      </c>
      <c r="CM155" s="52">
        <f t="shared" si="92"/>
        <v>1.9009499999999999</v>
      </c>
      <c r="CN155" s="52">
        <f t="shared" si="92"/>
        <v>1.9009499999999999</v>
      </c>
      <c r="CO155" s="52">
        <f t="shared" si="92"/>
        <v>1.9009499999999999</v>
      </c>
      <c r="CP155" s="52">
        <f t="shared" si="92"/>
        <v>1.9009499999999999</v>
      </c>
    </row>
    <row r="156" spans="1:94" ht="15" customHeight="1">
      <c r="A156" s="46"/>
      <c r="B156" s="42">
        <f t="shared" si="87"/>
        <v>454</v>
      </c>
      <c r="C156" s="569" t="str">
        <f>IF('Registro Original'!C156 = "", "", 'Registro Original'!C156)</f>
        <v/>
      </c>
      <c r="D156" s="565" t="str">
        <f t="shared" si="88"/>
        <v/>
      </c>
      <c r="E156" s="42">
        <f t="shared" si="89"/>
        <v>450</v>
      </c>
      <c r="F156" s="569" t="str">
        <f>IF('Registro Original'!F156 = "", "", 'Registro Original'!F156)</f>
        <v/>
      </c>
      <c r="G156" s="36" t="str">
        <f t="shared" si="90"/>
        <v/>
      </c>
      <c r="S156" s="22"/>
      <c r="T156" s="22"/>
      <c r="U156" s="602" t="s">
        <v>359</v>
      </c>
      <c r="V156" s="88" t="s">
        <v>360</v>
      </c>
      <c r="W156" s="88" t="s">
        <v>361</v>
      </c>
      <c r="X156" s="88" t="s">
        <v>362</v>
      </c>
      <c r="Y156" s="88" t="s">
        <v>363</v>
      </c>
      <c r="Z156" s="88" t="s">
        <v>364</v>
      </c>
      <c r="AA156" s="603" t="s">
        <v>365</v>
      </c>
      <c r="AB156" s="735" t="s">
        <v>458</v>
      </c>
      <c r="AC156" s="736">
        <f>IF(U157="","",IF(AA157&lt;&gt;0, 6,5))</f>
        <v>6</v>
      </c>
      <c r="AD156" s="50">
        <v>664.9</v>
      </c>
      <c r="AE156" s="51">
        <v>81.153999999999996</v>
      </c>
      <c r="AF156" s="52">
        <f t="shared" si="72"/>
        <v>9.0690069366831022E-2</v>
      </c>
      <c r="AH156" s="22"/>
    </row>
    <row r="157" spans="1:94" ht="15" customHeight="1">
      <c r="A157" s="46"/>
      <c r="B157" s="42">
        <f t="shared" si="87"/>
        <v>453</v>
      </c>
      <c r="C157" s="569">
        <f>IF('Registro Original'!C157 = "", "", 'Registro Original'!C157)</f>
        <v>0.68</v>
      </c>
      <c r="D157" s="565" t="str">
        <f t="shared" si="88"/>
        <v/>
      </c>
      <c r="E157" s="42">
        <f t="shared" si="89"/>
        <v>449.5</v>
      </c>
      <c r="F157" s="569">
        <f>IF('Registro Original'!F157 = "", "", 'Registro Original'!F157)</f>
        <v>0.67500000000000004</v>
      </c>
      <c r="G157" s="36" t="str">
        <f t="shared" si="90"/>
        <v/>
      </c>
      <c r="S157" s="22"/>
      <c r="T157" s="22"/>
      <c r="U157" s="633">
        <v>1713043322722.1599</v>
      </c>
      <c r="V157" s="612">
        <v>-22953499652.5662</v>
      </c>
      <c r="W157" s="612">
        <v>128150168.52869</v>
      </c>
      <c r="X157" s="612">
        <v>-381583.11878064199</v>
      </c>
      <c r="Y157" s="612">
        <v>639.12035285546904</v>
      </c>
      <c r="Z157" s="612">
        <v>-0.57092083216059597</v>
      </c>
      <c r="AA157" s="634">
        <v>2.12499999562965E-4</v>
      </c>
      <c r="AB157" s="737" t="s">
        <v>459</v>
      </c>
      <c r="AC157" s="732">
        <f>IF(AC156="", "",AC156 +1)</f>
        <v>7</v>
      </c>
      <c r="AD157" s="50">
        <v>664.8</v>
      </c>
      <c r="AE157" s="51">
        <v>81.063000000000002</v>
      </c>
      <c r="AF157" s="52">
        <f t="shared" si="72"/>
        <v>9.1177327816917744E-2</v>
      </c>
      <c r="AH157" s="22"/>
    </row>
    <row r="158" spans="1:94" ht="15" customHeight="1">
      <c r="A158" s="590" t="s">
        <v>352</v>
      </c>
      <c r="B158" s="42">
        <f t="shared" si="87"/>
        <v>452</v>
      </c>
      <c r="C158" s="569">
        <f>IF('Registro Original'!C158 = "", "", 'Registro Original'!C158)</f>
        <v>0.66400000000000003</v>
      </c>
      <c r="D158" s="565" t="str">
        <f t="shared" si="88"/>
        <v/>
      </c>
      <c r="E158" s="42">
        <f t="shared" si="89"/>
        <v>449</v>
      </c>
      <c r="F158" s="569">
        <f>IF('Registro Original'!F158 = "", "", 'Registro Original'!F158)</f>
        <v>0.66400000000000003</v>
      </c>
      <c r="G158" s="36" t="str">
        <f t="shared" si="90"/>
        <v/>
      </c>
      <c r="U158" s="606" t="s">
        <v>373</v>
      </c>
      <c r="V158" s="607" t="s">
        <v>369</v>
      </c>
      <c r="W158" s="601" t="s">
        <v>375</v>
      </c>
      <c r="X158" s="601" t="s">
        <v>367</v>
      </c>
      <c r="Y158" s="601" t="s">
        <v>368</v>
      </c>
      <c r="Z158" s="635" t="s">
        <v>370</v>
      </c>
      <c r="AA158" s="636" t="s">
        <v>369</v>
      </c>
      <c r="AB158" s="737" t="s">
        <v>460</v>
      </c>
      <c r="AC158" s="605">
        <f xml:space="preserve"> 1.00000003403716</f>
        <v>1.00000003403716</v>
      </c>
      <c r="AD158" s="50">
        <v>664.7</v>
      </c>
      <c r="AE158" s="51">
        <v>80.980999999999995</v>
      </c>
      <c r="AF158" s="52">
        <f t="shared" si="72"/>
        <v>9.1616864616254082E-2</v>
      </c>
    </row>
    <row r="159" spans="1:94" ht="15" customHeight="1">
      <c r="A159" s="46"/>
      <c r="B159" s="42">
        <f t="shared" si="87"/>
        <v>451</v>
      </c>
      <c r="C159" s="569">
        <f>IF('Registro Original'!C159 = "", "", 'Registro Original'!C159)</f>
        <v>0.68100000000000005</v>
      </c>
      <c r="D159" s="565" t="str">
        <f t="shared" si="88"/>
        <v/>
      </c>
      <c r="E159" s="42">
        <f t="shared" si="89"/>
        <v>448.5</v>
      </c>
      <c r="F159" s="569">
        <f>IF('Registro Original'!F159 = "", "", 'Registro Original'!F159)</f>
        <v>0.69499999999999995</v>
      </c>
      <c r="G159" s="36" t="str">
        <f t="shared" si="90"/>
        <v/>
      </c>
      <c r="M159" s="31"/>
      <c r="U159" s="608">
        <v>1</v>
      </c>
      <c r="V159" s="624">
        <v>447.2</v>
      </c>
      <c r="W159" s="604">
        <f xml:space="preserve"> $U$157 + $V$157*(V159) + $W$157*(V159^2) + $X$157*(V159^3) + $Y$157*(V159^4) + $Z$157*(V159^5) + $AA$157*(V159^6)</f>
        <v>1.068115234375</v>
      </c>
      <c r="X159" s="604">
        <f xml:space="preserve"> ($V$157 +  2*$W$157*(V159) +  3*$X$157*(V159^2) + 4*$Y$157*(V159^3) + 5*$Z$157*(V159^4) + 6*$AA$157*(V159^5))</f>
        <v>-3.87420654296875E-2</v>
      </c>
      <c r="Y159" s="617">
        <f xml:space="preserve"> (2*$W$157 + 6*$X$157*(V159) + 12*$Y$157*(V159^2) + 20*$Z$157*(V159^3) + 30*$AA$157*(V159^4))</f>
        <v>-0.19258880615234375</v>
      </c>
      <c r="Z159" s="605">
        <f>V159 - (X159/Y159)</f>
        <v>446.99883532068293</v>
      </c>
      <c r="AA159" s="638">
        <v>447.00774535862729</v>
      </c>
      <c r="AB159" s="738" t="s">
        <v>461</v>
      </c>
      <c r="AC159" s="605">
        <f>IF(AC158="",  "", SQRT(AC158)/(AC157))</f>
        <v>0.14285714528836854</v>
      </c>
      <c r="AD159" s="50">
        <v>664.6</v>
      </c>
      <c r="AE159" s="51">
        <v>80.863</v>
      </c>
      <c r="AF159" s="52">
        <f t="shared" si="72"/>
        <v>9.2250150471092238E-2</v>
      </c>
    </row>
    <row r="160" spans="1:94" ht="15" customHeight="1">
      <c r="A160" s="46"/>
      <c r="B160" s="42">
        <f t="shared" si="87"/>
        <v>450</v>
      </c>
      <c r="C160" s="569">
        <f>IF('Registro Original'!C160 = "", "", 'Registro Original'!C160)</f>
        <v>0.745</v>
      </c>
      <c r="D160" s="565" t="str">
        <f t="shared" si="88"/>
        <v/>
      </c>
      <c r="E160" s="42">
        <f t="shared" si="89"/>
        <v>448</v>
      </c>
      <c r="F160" s="569">
        <f>IF('Registro Original'!F160 = "", "", 'Registro Original'!F160)</f>
        <v>0.77200000000000002</v>
      </c>
      <c r="G160" s="36" t="str">
        <f t="shared" si="90"/>
        <v/>
      </c>
      <c r="M160" s="31"/>
      <c r="U160" s="608">
        <v>2</v>
      </c>
      <c r="V160" s="610">
        <f>Z159</f>
        <v>446.99883532068293</v>
      </c>
      <c r="W160" s="604">
        <f xml:space="preserve"> $U$157 + $V$157*(V160) + $W$157*(V160^2) + $X$157*(V160^3) + $Y$157*(V160^4) + $Z$157*(V160^5) + $AA$157*(V160^6)</f>
        <v>1.06396484375</v>
      </c>
      <c r="X160" s="604">
        <f xml:space="preserve"> ($V$157 +  2*$W$157*(V160) +  3*$X$157*(V160^2) + 4*$Y$157*(V160^3) + 5*$Z$157*(V160^4) + 6*$AA$157*(V160^5))</f>
        <v>1.903533935546875E-3</v>
      </c>
      <c r="Y160" s="617">
        <f xml:space="preserve"> (2*$W$157 + 6*$X$157*(V160) + 12*$Y$157*(V160^2) + 20*$Z$157*(V160^3) + 30*$AA$157*(V160^4))</f>
        <v>-0.21047955751419067</v>
      </c>
      <c r="Z160" s="605">
        <f>V160 - (X160/Y160)</f>
        <v>447.00787911551998</v>
      </c>
      <c r="AA160" s="620" t="s">
        <v>371</v>
      </c>
      <c r="AB160" s="738" t="s">
        <v>463</v>
      </c>
      <c r="AC160" s="732">
        <f>COUNT(U157,U167)</f>
        <v>2</v>
      </c>
      <c r="AD160" s="50">
        <v>664.5</v>
      </c>
      <c r="AE160" s="51">
        <v>80.75</v>
      </c>
      <c r="AF160" s="52">
        <f t="shared" si="72"/>
        <v>9.2857468996859496E-2</v>
      </c>
    </row>
    <row r="161" spans="1:32" ht="15" customHeight="1">
      <c r="A161" s="46"/>
      <c r="B161" s="42">
        <f t="shared" si="87"/>
        <v>449</v>
      </c>
      <c r="C161" s="569">
        <f>IF('Registro Original'!C161 = "", "", 'Registro Original'!C161)</f>
        <v>0.85399999999999998</v>
      </c>
      <c r="D161" s="565" t="str">
        <f t="shared" si="88"/>
        <v/>
      </c>
      <c r="E161" s="42">
        <f t="shared" si="89"/>
        <v>447.5</v>
      </c>
      <c r="F161" s="569">
        <f>IF('Registro Original'!F161 = "", "", 'Registro Original'!F161)</f>
        <v>0.89400000000000002</v>
      </c>
      <c r="G161" s="36" t="str">
        <f t="shared" si="90"/>
        <v/>
      </c>
      <c r="M161" s="31"/>
      <c r="U161" s="608">
        <v>3</v>
      </c>
      <c r="V161" s="610">
        <f t="shared" ref="V161:V165" si="93">Z160</f>
        <v>447.00787911551998</v>
      </c>
      <c r="W161" s="604">
        <f t="shared" ref="W161:W165" si="94" xml:space="preserve"> $U$157 + $V$157*(V161) + $W$157*(V161^2) + $X$157*(V161^3) + $Y$157*(V161^4) + $Z$157*(V161^5) + $AA$157*(V161^6)</f>
        <v>1.06591796875</v>
      </c>
      <c r="X161" s="604">
        <f t="shared" ref="X161:X165" si="95" xml:space="preserve"> ($V$157 +  2*$W$157*(V161) +  3*$X$157*(V161^2) + 4*$Y$157*(V161^3) + 5*$Z$157*(V161^4) + 6*$AA$157*(V161^5))</f>
        <v>-3.814697265625E-5</v>
      </c>
      <c r="Y161" s="617">
        <f t="shared" ref="Y161:Y165" si="96" xml:space="preserve"> (2*$W$157 + 6*$X$157*(V161) + 12*$Y$157*(V161^2) + 20*$Z$157*(V161^3) + 30*$AA$157*(V161^4))</f>
        <v>-0.20974087715148926</v>
      </c>
      <c r="Z161" s="605">
        <f t="shared" ref="Z161:Z165" si="97">V161 - (X161/Y161)</f>
        <v>447.00769723884827</v>
      </c>
      <c r="AA161" s="637">
        <f xml:space="preserve"> ($V$157 +  2*$W$157*(AA159) +  3*$X$157*(AA159^2) + 4*$Y$157*(AA159^3) + 5*$Z$157*(AA159^4) + 6*$AA$157*(AA159^5))</f>
        <v>0</v>
      </c>
      <c r="AB161" s="739" t="s">
        <v>462</v>
      </c>
      <c r="AC161" s="634">
        <f>IF(AC159="", "", AC159/SQRT(AC160))</f>
        <v>0.10101525617435723</v>
      </c>
      <c r="AD161" s="50">
        <v>664.4</v>
      </c>
      <c r="AE161" s="51">
        <v>80.635999999999996</v>
      </c>
      <c r="AF161" s="52">
        <f t="shared" si="72"/>
        <v>9.3471023817867996E-2</v>
      </c>
    </row>
    <row r="162" spans="1:32" ht="15" customHeight="1">
      <c r="A162" s="46"/>
      <c r="B162" s="42">
        <f t="shared" si="87"/>
        <v>448</v>
      </c>
      <c r="C162" s="569">
        <f>IF('Registro Original'!C162 = "", "", 'Registro Original'!C162)</f>
        <v>1.038</v>
      </c>
      <c r="D162" s="565" t="str">
        <f t="shared" si="88"/>
        <v/>
      </c>
      <c r="E162" s="42">
        <f t="shared" si="89"/>
        <v>447</v>
      </c>
      <c r="F162" s="569">
        <f>IF('Registro Original'!F162 = "", "", 'Registro Original'!F162)</f>
        <v>1.0780000000000001</v>
      </c>
      <c r="G162" s="36" t="str">
        <f t="shared" si="90"/>
        <v/>
      </c>
      <c r="I162" s="31"/>
      <c r="J162" s="31"/>
      <c r="K162" s="31"/>
      <c r="L162" s="31"/>
      <c r="M162" s="31"/>
      <c r="U162" s="608">
        <v>4</v>
      </c>
      <c r="V162" s="610">
        <f t="shared" si="93"/>
        <v>447.00769723884827</v>
      </c>
      <c r="W162" s="604">
        <f t="shared" si="94"/>
        <v>1.0703125</v>
      </c>
      <c r="X162" s="604">
        <f t="shared" si="95"/>
        <v>0</v>
      </c>
      <c r="Y162" s="617">
        <f t="shared" si="96"/>
        <v>-0.20975586771965027</v>
      </c>
      <c r="Z162" s="605">
        <f t="shared" si="97"/>
        <v>447.00769723884827</v>
      </c>
      <c r="AA162" s="621"/>
      <c r="AB162" s="36"/>
      <c r="AC162" s="36"/>
      <c r="AD162" s="50">
        <v>664.3</v>
      </c>
      <c r="AE162" s="51">
        <v>80.546999999999997</v>
      </c>
      <c r="AF162" s="52">
        <f t="shared" si="72"/>
        <v>9.3950630387017314E-2</v>
      </c>
    </row>
    <row r="163" spans="1:32" ht="15" customHeight="1">
      <c r="A163" s="59" t="s">
        <v>341</v>
      </c>
      <c r="B163" s="42">
        <f>IF(ISNUMBER($G$45),B164+$G$45,"")</f>
        <v>447</v>
      </c>
      <c r="C163" s="569">
        <f>IF('Registro Original'!C163 = "", "", 'Registro Original'!C163)</f>
        <v>1.125</v>
      </c>
      <c r="D163" s="565">
        <f t="shared" si="88"/>
        <v>1.125</v>
      </c>
      <c r="E163" s="42">
        <f>IF(ISNUMBER($G$45),E164+$K$45,"")</f>
        <v>446.5</v>
      </c>
      <c r="F163" s="569">
        <f>IF('Registro Original'!F163 = "", "", 'Registro Original'!F163)</f>
        <v>1.115</v>
      </c>
      <c r="G163" s="36">
        <f t="shared" si="90"/>
        <v>1.115</v>
      </c>
      <c r="I163" s="31"/>
      <c r="J163" s="31"/>
      <c r="K163" s="31"/>
      <c r="L163" s="31"/>
      <c r="M163" s="31"/>
      <c r="U163" s="608">
        <v>5</v>
      </c>
      <c r="V163" s="610">
        <f t="shared" si="93"/>
        <v>447.00769723884827</v>
      </c>
      <c r="W163" s="604">
        <f t="shared" si="94"/>
        <v>1.0703125</v>
      </c>
      <c r="X163" s="604">
        <f t="shared" si="95"/>
        <v>0</v>
      </c>
      <c r="Y163" s="617">
        <f t="shared" si="96"/>
        <v>-0.20975586771965027</v>
      </c>
      <c r="Z163" s="605">
        <f t="shared" si="97"/>
        <v>447.00769723884827</v>
      </c>
      <c r="AA163" s="621"/>
      <c r="AB163" s="36"/>
      <c r="AC163" s="36"/>
      <c r="AD163" s="50">
        <v>664.2</v>
      </c>
      <c r="AE163" s="51">
        <v>80.456000000000003</v>
      </c>
      <c r="AF163" s="52">
        <f t="shared" si="72"/>
        <v>9.4441562879723884E-2</v>
      </c>
    </row>
    <row r="164" spans="1:32" ht="15" customHeight="1">
      <c r="A164" s="45">
        <v>446.13</v>
      </c>
      <c r="B164" s="121">
        <v>446</v>
      </c>
      <c r="C164" s="569">
        <f>IF('Registro Original'!C164 = "", "", 'Registro Original'!C164)</f>
        <v>1.0089999999999999</v>
      </c>
      <c r="D164" s="565" t="str">
        <f>IF(C164&lt;&gt;"",IF(C164=LARGE($C$152:$C$176,1),C164,""),"")</f>
        <v/>
      </c>
      <c r="E164" s="121">
        <v>446</v>
      </c>
      <c r="F164" s="569">
        <f>IF('Registro Original'!F164 = "", "", 'Registro Original'!F164)</f>
        <v>0.94199999999999995</v>
      </c>
      <c r="G164" s="36" t="str">
        <f>IF(F164 &lt;&gt;"", IF(F164 = LARGE($F$152:$F$176,1), F164, ""), "")</f>
        <v/>
      </c>
      <c r="I164" s="31"/>
      <c r="J164" s="31"/>
      <c r="K164" s="31"/>
      <c r="L164" s="31"/>
      <c r="M164" s="31"/>
      <c r="U164" s="608">
        <v>6</v>
      </c>
      <c r="V164" s="610">
        <f t="shared" si="93"/>
        <v>447.00769723884827</v>
      </c>
      <c r="W164" s="604">
        <f t="shared" si="94"/>
        <v>1.0703125</v>
      </c>
      <c r="X164" s="604">
        <f t="shared" si="95"/>
        <v>0</v>
      </c>
      <c r="Y164" s="617">
        <f t="shared" si="96"/>
        <v>-0.20975586771965027</v>
      </c>
      <c r="Z164" s="605">
        <f t="shared" si="97"/>
        <v>447.00769723884827</v>
      </c>
      <c r="AA164" s="621"/>
      <c r="AB164" s="36"/>
      <c r="AC164" s="36"/>
      <c r="AD164" s="50">
        <v>664.1</v>
      </c>
      <c r="AE164" s="51">
        <v>80.266000000000005</v>
      </c>
      <c r="AF164" s="52">
        <f t="shared" si="72"/>
        <v>9.5468379245880974E-2</v>
      </c>
    </row>
    <row r="165" spans="1:32" ht="15" customHeight="1" thickBot="1">
      <c r="A165" s="46"/>
      <c r="B165" s="42">
        <f>IF(ISNUMBER($G$45),B164-$G$45,"")</f>
        <v>445</v>
      </c>
      <c r="C165" s="569">
        <f>IF('Registro Original'!C165 = "", "", 'Registro Original'!C165)</f>
        <v>0.69299999999999995</v>
      </c>
      <c r="D165" s="565" t="str">
        <f t="shared" ref="D165:D176" si="98">IF(C165&lt;&gt;"",IF(C165=LARGE($C$152:$C$176,1),C165,""),"")</f>
        <v/>
      </c>
      <c r="E165" s="42">
        <f>IF(ISNUMBER($G$45),E164-$K$45,"")</f>
        <v>445.5</v>
      </c>
      <c r="F165" s="569">
        <f>IF('Registro Original'!F165 = "", "", 'Registro Original'!F165)</f>
        <v>0.626</v>
      </c>
      <c r="G165" s="36" t="str">
        <f t="shared" ref="G165:G176" si="99">IF(F165 &lt;&gt;"", IF(F165 = LARGE($F$152:$F$176,1), F165, ""), "")</f>
        <v/>
      </c>
      <c r="M165" s="31"/>
      <c r="U165" s="611">
        <v>7</v>
      </c>
      <c r="V165" s="657">
        <f t="shared" si="93"/>
        <v>447.00769723884827</v>
      </c>
      <c r="W165" s="612">
        <f t="shared" si="94"/>
        <v>1.0703125</v>
      </c>
      <c r="X165" s="612">
        <f t="shared" si="95"/>
        <v>0</v>
      </c>
      <c r="Y165" s="618">
        <f t="shared" si="96"/>
        <v>-0.20975586771965027</v>
      </c>
      <c r="Z165" s="634">
        <f t="shared" si="97"/>
        <v>447.00769723884827</v>
      </c>
      <c r="AA165" s="622"/>
      <c r="AB165" s="36"/>
      <c r="AC165" s="36"/>
      <c r="AD165" s="50">
        <v>664</v>
      </c>
      <c r="AE165" s="51">
        <v>80.123000000000005</v>
      </c>
      <c r="AF165" s="52">
        <f t="shared" si="72"/>
        <v>9.6242798032307578E-2</v>
      </c>
    </row>
    <row r="166" spans="1:32" ht="15" customHeight="1">
      <c r="A166" s="46"/>
      <c r="B166" s="42">
        <f t="shared" ref="B166:B176" si="100">IF(ISNUMBER($G$45),B165-$G$45,"")</f>
        <v>444</v>
      </c>
      <c r="C166" s="569">
        <f>IF('Registro Original'!C166 = "", "", 'Registro Original'!C166)</f>
        <v>0.48499999999999999</v>
      </c>
      <c r="D166" s="565" t="str">
        <f t="shared" si="98"/>
        <v/>
      </c>
      <c r="E166" s="42">
        <f t="shared" ref="E166:E176" si="101">IF(ISNUMBER($G$45),E165-$K$45,"")</f>
        <v>445</v>
      </c>
      <c r="F166" s="569">
        <f>IF('Registro Original'!F166 = "", "", 'Registro Original'!F166)</f>
        <v>0.435</v>
      </c>
      <c r="G166" s="36" t="str">
        <f t="shared" si="99"/>
        <v/>
      </c>
      <c r="M166" s="31"/>
      <c r="U166" s="602" t="s">
        <v>359</v>
      </c>
      <c r="V166" s="88" t="s">
        <v>360</v>
      </c>
      <c r="W166" s="88" t="s">
        <v>361</v>
      </c>
      <c r="X166" s="88" t="s">
        <v>362</v>
      </c>
      <c r="Y166" s="88" t="s">
        <v>363</v>
      </c>
      <c r="Z166" s="88" t="s">
        <v>364</v>
      </c>
      <c r="AA166" s="603" t="s">
        <v>365</v>
      </c>
      <c r="AB166" s="735" t="s">
        <v>458</v>
      </c>
      <c r="AC166" s="736">
        <f>IF(U167="","",IF(AA167&lt;&gt;0, 6,5))</f>
        <v>6</v>
      </c>
      <c r="AD166" s="50">
        <v>663.9</v>
      </c>
      <c r="AE166" s="51">
        <v>79.994</v>
      </c>
      <c r="AF166" s="52">
        <f t="shared" si="72"/>
        <v>9.6942586315713467E-2</v>
      </c>
    </row>
    <row r="167" spans="1:32" ht="15" customHeight="1">
      <c r="A167" s="46"/>
      <c r="B167" s="42">
        <f t="shared" si="100"/>
        <v>443</v>
      </c>
      <c r="C167" s="569">
        <f>IF('Registro Original'!C167 = "", "", 'Registro Original'!C167)</f>
        <v>0.33200000000000002</v>
      </c>
      <c r="D167" s="565" t="str">
        <f t="shared" si="98"/>
        <v/>
      </c>
      <c r="E167" s="42">
        <f t="shared" si="101"/>
        <v>444.5</v>
      </c>
      <c r="F167" s="569">
        <f>IF('Registro Original'!F167 = "", "", 'Registro Original'!F167)</f>
        <v>0.29699999999999999</v>
      </c>
      <c r="G167" s="36" t="str">
        <f t="shared" si="99"/>
        <v/>
      </c>
      <c r="M167" s="31"/>
      <c r="U167" s="633">
        <v>968181524836.90002</v>
      </c>
      <c r="V167" s="612">
        <v>-12985717029.6</v>
      </c>
      <c r="W167" s="612">
        <v>72572038.653459996</v>
      </c>
      <c r="X167" s="612">
        <v>-216310.17152020001</v>
      </c>
      <c r="Y167" s="612">
        <v>362.67081201029998</v>
      </c>
      <c r="Z167" s="612">
        <v>-0.32430416622899999</v>
      </c>
      <c r="AA167" s="634">
        <v>1.208333331704E-4</v>
      </c>
      <c r="AB167" s="737" t="s">
        <v>459</v>
      </c>
      <c r="AC167" s="732">
        <f>IF(AC166="", "",AC166 +1)</f>
        <v>7</v>
      </c>
      <c r="AD167" s="50">
        <v>663.8</v>
      </c>
      <c r="AE167" s="51">
        <v>79.918999999999997</v>
      </c>
      <c r="AF167" s="52">
        <f t="shared" si="72"/>
        <v>9.7349958931210553E-2</v>
      </c>
    </row>
    <row r="168" spans="1:32" ht="15" customHeight="1">
      <c r="A168" s="46"/>
      <c r="B168" s="42">
        <f t="shared" si="100"/>
        <v>442</v>
      </c>
      <c r="C168" s="569">
        <f>IF('Registro Original'!C168 = "", "", 'Registro Original'!C168)</f>
        <v>0.20699999999999999</v>
      </c>
      <c r="D168" s="565" t="str">
        <f t="shared" si="98"/>
        <v/>
      </c>
      <c r="E168" s="42">
        <f t="shared" si="101"/>
        <v>444</v>
      </c>
      <c r="F168" s="569">
        <f>IF('Registro Original'!F168 = "", "", 'Registro Original'!F168)</f>
        <v>0.187</v>
      </c>
      <c r="G168" s="36" t="str">
        <f t="shared" si="99"/>
        <v/>
      </c>
      <c r="M168" s="31"/>
      <c r="U168" s="606" t="s">
        <v>373</v>
      </c>
      <c r="V168" s="607" t="s">
        <v>369</v>
      </c>
      <c r="W168" s="601" t="s">
        <v>375</v>
      </c>
      <c r="X168" s="601" t="s">
        <v>367</v>
      </c>
      <c r="Y168" s="601" t="s">
        <v>368</v>
      </c>
      <c r="Z168" s="635" t="s">
        <v>370</v>
      </c>
      <c r="AA168" s="636" t="s">
        <v>369</v>
      </c>
      <c r="AB168" s="737" t="s">
        <v>460</v>
      </c>
      <c r="AC168" s="605">
        <f xml:space="preserve"> 1.000000017985</f>
        <v>1.0000000179849999</v>
      </c>
      <c r="AD168" s="50">
        <v>663.7</v>
      </c>
      <c r="AE168" s="51">
        <v>79.849000000000004</v>
      </c>
      <c r="AF168" s="52">
        <f t="shared" si="72"/>
        <v>9.7730518438477146E-2</v>
      </c>
    </row>
    <row r="169" spans="1:32" ht="15" customHeight="1">
      <c r="A169" s="46"/>
      <c r="B169" s="42">
        <f t="shared" si="100"/>
        <v>441</v>
      </c>
      <c r="C169" s="569">
        <f>IF('Registro Original'!C169 = "", "", 'Registro Original'!C169)</f>
        <v>0.14799999999999999</v>
      </c>
      <c r="D169" s="565" t="str">
        <f t="shared" si="98"/>
        <v/>
      </c>
      <c r="E169" s="42">
        <f t="shared" si="101"/>
        <v>443.5</v>
      </c>
      <c r="F169" s="569">
        <f>IF('Registro Original'!F169 = "", "", 'Registro Original'!F169)</f>
        <v>0.13500000000000001</v>
      </c>
      <c r="G169" s="36" t="str">
        <f t="shared" si="99"/>
        <v/>
      </c>
      <c r="M169" s="31"/>
      <c r="U169" s="608">
        <v>1</v>
      </c>
      <c r="V169" s="642">
        <v>447.2</v>
      </c>
      <c r="W169" s="604">
        <f xml:space="preserve"> $U$157 + $V$157*(V169) + $W$157*(V169^2) + $X$157*(V169^3) + $Y$157*(V169^4) + $Z$157*(V169^5) + $AA$157*(V169^6)</f>
        <v>1.068115234375</v>
      </c>
      <c r="X169" s="604">
        <f xml:space="preserve"> ($V$157 +  2*$W$157*(V169) +  3*$X$157*(V169^2) + 4*$Y$157*(V169^3) + 5*$Z$157*(V169^4) + 6*$AA$157*(V169^5))</f>
        <v>-3.87420654296875E-2</v>
      </c>
      <c r="Y169" s="617">
        <f xml:space="preserve"> (2*$W$157 + 6*$X$157*(V169) + 12*$Y$157*(V169^2) + 20*$Z$157*(V169^3) + 30*$AA$157*(V169^4))</f>
        <v>-0.19258880615234375</v>
      </c>
      <c r="Z169" s="605">
        <f>V169 - (X169/Y169)</f>
        <v>446.99883532068293</v>
      </c>
      <c r="AA169" s="639">
        <v>447.47398631439262</v>
      </c>
      <c r="AB169" s="738" t="s">
        <v>461</v>
      </c>
      <c r="AC169" s="605">
        <f>IF(AC168="",  "", SQRT(AC168)/(AC167))</f>
        <v>0.14285714414178569</v>
      </c>
      <c r="AD169" s="50">
        <v>663.6</v>
      </c>
      <c r="AE169" s="51">
        <v>79.745999999999995</v>
      </c>
      <c r="AF169" s="52">
        <f t="shared" si="72"/>
        <v>9.8291091612407122E-2</v>
      </c>
    </row>
    <row r="170" spans="1:32" ht="15" customHeight="1">
      <c r="A170" s="590" t="s">
        <v>351</v>
      </c>
      <c r="B170" s="42">
        <f t="shared" si="100"/>
        <v>440</v>
      </c>
      <c r="C170" s="569">
        <f>IF('Registro Original'!C170 = "", "", 'Registro Original'!C170)</f>
        <v>0.112</v>
      </c>
      <c r="D170" s="565" t="str">
        <f t="shared" si="98"/>
        <v/>
      </c>
      <c r="E170" s="42">
        <f t="shared" si="101"/>
        <v>443</v>
      </c>
      <c r="F170" s="569">
        <f>IF('Registro Original'!F170 = "", "", 'Registro Original'!F170)</f>
        <v>0.105</v>
      </c>
      <c r="G170" s="36" t="str">
        <f t="shared" si="99"/>
        <v/>
      </c>
      <c r="M170" s="31"/>
      <c r="U170" s="608">
        <v>2</v>
      </c>
      <c r="V170" s="610">
        <f>Z169</f>
        <v>446.99883532068293</v>
      </c>
      <c r="W170" s="604">
        <f xml:space="preserve"> $U$157 + $V$157*(V170) + $W$157*(V170^2) + $X$157*(V170^3) + $Y$157*(V170^4) + $Z$157*(V170^5) + $AA$157*(V170^6)</f>
        <v>1.06396484375</v>
      </c>
      <c r="X170" s="604">
        <f xml:space="preserve"> ($V$157 +  2*$W$157*(V170) +  3*$X$157*(V170^2) + 4*$Y$157*(V170^3) + 5*$Z$157*(V170^4) + 6*$AA$157*(V170^5))</f>
        <v>1.903533935546875E-3</v>
      </c>
      <c r="Y170" s="617">
        <f xml:space="preserve"> (2*$W$157 + 6*$X$157*(V170) + 12*$Y$157*(V170^2) + 20*$Z$157*(V170^3) + 30*$AA$157*(V170^4))</f>
        <v>-0.21047955751419067</v>
      </c>
      <c r="Z170" s="605">
        <f>V170 - (X170/Y170)</f>
        <v>447.00787911551998</v>
      </c>
      <c r="AA170" s="620" t="s">
        <v>371</v>
      </c>
      <c r="AB170" s="738" t="s">
        <v>463</v>
      </c>
      <c r="AC170" s="732">
        <f>COUNT(U157,U167)</f>
        <v>2</v>
      </c>
      <c r="AD170" s="50">
        <v>663.5</v>
      </c>
      <c r="AE170" s="51">
        <v>79.691999999999993</v>
      </c>
      <c r="AF170" s="52">
        <f t="shared" si="72"/>
        <v>9.858527371353111E-2</v>
      </c>
    </row>
    <row r="171" spans="1:32" ht="15" customHeight="1">
      <c r="A171" s="46"/>
      <c r="B171" s="42">
        <f t="shared" si="100"/>
        <v>439</v>
      </c>
      <c r="C171" s="569" t="str">
        <f>IF('Registro Original'!C171 = "", "", 'Registro Original'!C171)</f>
        <v/>
      </c>
      <c r="D171" s="565" t="str">
        <f t="shared" si="98"/>
        <v/>
      </c>
      <c r="E171" s="42">
        <f t="shared" si="101"/>
        <v>442.5</v>
      </c>
      <c r="F171" s="569" t="str">
        <f>IF('Registro Original'!F171 = "", "", 'Registro Original'!F171)</f>
        <v/>
      </c>
      <c r="G171" s="36" t="str">
        <f t="shared" si="99"/>
        <v/>
      </c>
      <c r="M171" s="31"/>
      <c r="U171" s="608">
        <v>3</v>
      </c>
      <c r="V171" s="610">
        <f t="shared" ref="V171:V174" si="102">Z170</f>
        <v>447.00787911551998</v>
      </c>
      <c r="W171" s="604">
        <f t="shared" ref="W171:W175" si="103" xml:space="preserve"> $U$157 + $V$157*(V171) + $W$157*(V171^2) + $X$157*(V171^3) + $Y$157*(V171^4) + $Z$157*(V171^5) + $AA$157*(V171^6)</f>
        <v>1.06591796875</v>
      </c>
      <c r="X171" s="604">
        <f t="shared" ref="X171:X175" si="104" xml:space="preserve"> ($V$157 +  2*$W$157*(V171) +  3*$X$157*(V171^2) + 4*$Y$157*(V171^3) + 5*$Z$157*(V171^4) + 6*$AA$157*(V171^5))</f>
        <v>-3.814697265625E-5</v>
      </c>
      <c r="Y171" s="617">
        <f t="shared" ref="Y171:Y175" si="105" xml:space="preserve"> (2*$W$157 + 6*$X$157*(V171) + 12*$Y$157*(V171^2) + 20*$Z$157*(V171^3) + 30*$AA$157*(V171^4))</f>
        <v>-0.20974087715148926</v>
      </c>
      <c r="Z171" s="605">
        <f t="shared" ref="Z171:Z175" si="106">V171 - (X171/Y171)</f>
        <v>447.00769723884827</v>
      </c>
      <c r="AA171" s="637">
        <f xml:space="preserve"> ($V$167 +  2*$W$167*(AA169) +  3*$X$167*(AA169^2) + 4*$Y$167*(AA169^3) + 5*$Z$167*(AA169^4) + 6*$AA$167*(AA169^5))</f>
        <v>0</v>
      </c>
      <c r="AB171" s="739" t="s">
        <v>462</v>
      </c>
      <c r="AC171" s="634">
        <f>IF(AC169="", "", AC169/SQRT(AC170))</f>
        <v>0.10101525536360072</v>
      </c>
      <c r="AD171" s="50">
        <v>663.4</v>
      </c>
      <c r="AE171" s="51">
        <v>79.566999999999993</v>
      </c>
      <c r="AF171" s="52">
        <f t="shared" si="72"/>
        <v>9.9267016301210431E-2</v>
      </c>
    </row>
    <row r="172" spans="1:32" ht="15" customHeight="1">
      <c r="A172" s="46"/>
      <c r="B172" s="42">
        <f t="shared" si="100"/>
        <v>438</v>
      </c>
      <c r="C172" s="569" t="str">
        <f>IF('Registro Original'!C172 = "", "", 'Registro Original'!C172)</f>
        <v/>
      </c>
      <c r="D172" s="565" t="str">
        <f t="shared" si="98"/>
        <v/>
      </c>
      <c r="E172" s="42">
        <f t="shared" si="101"/>
        <v>442</v>
      </c>
      <c r="F172" s="569" t="str">
        <f>IF('Registro Original'!F172 = "", "", 'Registro Original'!F172)</f>
        <v/>
      </c>
      <c r="G172" s="36" t="str">
        <f t="shared" si="99"/>
        <v/>
      </c>
      <c r="M172" s="31"/>
      <c r="U172" s="608">
        <v>4</v>
      </c>
      <c r="V172" s="610">
        <f t="shared" si="102"/>
        <v>447.00769723884827</v>
      </c>
      <c r="W172" s="604">
        <f t="shared" si="103"/>
        <v>1.0703125</v>
      </c>
      <c r="X172" s="604">
        <f t="shared" si="104"/>
        <v>0</v>
      </c>
      <c r="Y172" s="617">
        <f t="shared" si="105"/>
        <v>-0.20975586771965027</v>
      </c>
      <c r="Z172" s="605">
        <f t="shared" si="106"/>
        <v>447.00769723884827</v>
      </c>
      <c r="AA172" s="621"/>
      <c r="AD172" s="50">
        <v>663.3</v>
      </c>
      <c r="AE172" s="51">
        <v>79.480999999999995</v>
      </c>
      <c r="AF172" s="52">
        <f t="shared" si="72"/>
        <v>9.9736677398284068E-2</v>
      </c>
    </row>
    <row r="173" spans="1:32" ht="15" customHeight="1">
      <c r="A173" s="46"/>
      <c r="B173" s="42">
        <f t="shared" si="100"/>
        <v>437</v>
      </c>
      <c r="C173" s="569" t="str">
        <f>IF('Registro Original'!C173 = "", "", 'Registro Original'!C173)</f>
        <v/>
      </c>
      <c r="D173" s="565" t="str">
        <f t="shared" si="98"/>
        <v/>
      </c>
      <c r="E173" s="42">
        <f t="shared" si="101"/>
        <v>441.5</v>
      </c>
      <c r="F173" s="569" t="str">
        <f>IF('Registro Original'!F173 = "", "", 'Registro Original'!F173)</f>
        <v/>
      </c>
      <c r="G173" s="36" t="str">
        <f t="shared" si="99"/>
        <v/>
      </c>
      <c r="M173" s="31"/>
      <c r="U173" s="608">
        <v>5</v>
      </c>
      <c r="V173" s="610">
        <f t="shared" si="102"/>
        <v>447.00769723884827</v>
      </c>
      <c r="W173" s="604">
        <f t="shared" si="103"/>
        <v>1.0703125</v>
      </c>
      <c r="X173" s="604">
        <f t="shared" si="104"/>
        <v>0</v>
      </c>
      <c r="Y173" s="617">
        <f t="shared" si="105"/>
        <v>-0.20975586771965027</v>
      </c>
      <c r="Z173" s="605">
        <f t="shared" si="106"/>
        <v>447.00769723884827</v>
      </c>
      <c r="AA173" s="621"/>
      <c r="AD173" s="50">
        <v>663.2</v>
      </c>
      <c r="AE173" s="51">
        <v>79.400000000000006</v>
      </c>
      <c r="AF173" s="52">
        <f t="shared" si="72"/>
        <v>0.10017949757290372</v>
      </c>
    </row>
    <row r="174" spans="1:32" ht="15" customHeight="1">
      <c r="A174" s="46"/>
      <c r="B174" s="42">
        <f t="shared" si="100"/>
        <v>436</v>
      </c>
      <c r="C174" s="569" t="str">
        <f>IF('Registro Original'!C174 = "", "", 'Registro Original'!C174)</f>
        <v/>
      </c>
      <c r="D174" s="565" t="str">
        <f t="shared" si="98"/>
        <v/>
      </c>
      <c r="E174" s="42">
        <f t="shared" si="101"/>
        <v>441</v>
      </c>
      <c r="F174" s="569" t="str">
        <f>IF('Registro Original'!F174 = "", "", 'Registro Original'!F174)</f>
        <v/>
      </c>
      <c r="G174" s="36" t="str">
        <f t="shared" si="99"/>
        <v/>
      </c>
      <c r="M174" s="31"/>
      <c r="U174" s="608">
        <v>6</v>
      </c>
      <c r="V174" s="610">
        <f t="shared" si="102"/>
        <v>447.00769723884827</v>
      </c>
      <c r="W174" s="604">
        <f t="shared" si="103"/>
        <v>1.0703125</v>
      </c>
      <c r="X174" s="604">
        <f t="shared" si="104"/>
        <v>0</v>
      </c>
      <c r="Y174" s="617">
        <f t="shared" si="105"/>
        <v>-0.20975586771965027</v>
      </c>
      <c r="Z174" s="605">
        <f t="shared" si="106"/>
        <v>447.00769723884827</v>
      </c>
      <c r="AA174" s="621"/>
      <c r="AD174" s="50">
        <v>663.1</v>
      </c>
      <c r="AE174" s="51">
        <v>79.305000000000007</v>
      </c>
      <c r="AF174" s="52">
        <f t="shared" si="72"/>
        <v>0.10069943053920731</v>
      </c>
    </row>
    <row r="175" spans="1:32" ht="15" customHeight="1">
      <c r="A175" s="46"/>
      <c r="B175" s="42">
        <f t="shared" si="100"/>
        <v>435</v>
      </c>
      <c r="C175" s="569" t="str">
        <f>IF('Registro Original'!C175 = "", "", 'Registro Original'!C175)</f>
        <v/>
      </c>
      <c r="D175" s="565" t="str">
        <f t="shared" si="98"/>
        <v/>
      </c>
      <c r="E175" s="42">
        <f t="shared" si="101"/>
        <v>440.5</v>
      </c>
      <c r="F175" s="569" t="str">
        <f>IF('Registro Original'!F175 = "", "", 'Registro Original'!F175)</f>
        <v/>
      </c>
      <c r="G175" s="36" t="str">
        <f t="shared" si="99"/>
        <v/>
      </c>
      <c r="M175" s="31"/>
      <c r="U175" s="611">
        <v>7</v>
      </c>
      <c r="V175" s="658">
        <f>Z174</f>
        <v>447.00769723884827</v>
      </c>
      <c r="W175" s="612">
        <f t="shared" si="103"/>
        <v>1.0703125</v>
      </c>
      <c r="X175" s="612">
        <f t="shared" si="104"/>
        <v>0</v>
      </c>
      <c r="Y175" s="618">
        <f t="shared" si="105"/>
        <v>-0.20975586771965027</v>
      </c>
      <c r="Z175" s="634">
        <f t="shared" si="106"/>
        <v>447.00769723884827</v>
      </c>
      <c r="AA175" s="622"/>
      <c r="AD175" s="50">
        <v>663</v>
      </c>
      <c r="AE175" s="51">
        <v>79.281999999999996</v>
      </c>
      <c r="AF175" s="52">
        <f t="shared" si="72"/>
        <v>0.10082540269523285</v>
      </c>
    </row>
    <row r="176" spans="1:32" ht="15" customHeight="1" thickBot="1">
      <c r="A176" s="43"/>
      <c r="B176" s="47">
        <f t="shared" si="100"/>
        <v>434</v>
      </c>
      <c r="C176" s="570" t="str">
        <f>IF('Registro Original'!C176 = "", "", 'Registro Original'!C176)</f>
        <v/>
      </c>
      <c r="D176" s="566" t="str">
        <f t="shared" si="98"/>
        <v/>
      </c>
      <c r="E176" s="47">
        <f t="shared" si="101"/>
        <v>440</v>
      </c>
      <c r="F176" s="570" t="str">
        <f>IF('Registro Original'!F176 = "", "", 'Registro Original'!F176)</f>
        <v/>
      </c>
      <c r="G176" s="571" t="str">
        <f t="shared" si="99"/>
        <v/>
      </c>
      <c r="M176" s="31"/>
      <c r="AD176" s="50">
        <v>662.9</v>
      </c>
      <c r="AE176" s="51">
        <v>79.227999999999994</v>
      </c>
      <c r="AF176" s="52">
        <f t="shared" si="72"/>
        <v>0.10112130709154897</v>
      </c>
    </row>
    <row r="177" spans="1:94" ht="15" customHeight="1" thickTop="1">
      <c r="A177" s="46"/>
      <c r="B177" s="44">
        <f t="shared" ref="B177:B187" si="107">IF(ISNUMBER($G$45),B178+$G$45,"")</f>
        <v>431</v>
      </c>
      <c r="C177" s="568" t="str">
        <f>IF('Registro Original'!C177 = "", "", 'Registro Original'!C177)</f>
        <v/>
      </c>
      <c r="D177" s="574" t="str">
        <f t="shared" ref="D177:D188" si="108">IF(C177&lt;&gt;"",IF(C177 = LARGE($C$177:$C$201,1), C177, ""), "")</f>
        <v/>
      </c>
      <c r="E177" s="44">
        <f t="shared" ref="E177:E187" si="109">IF(ISNUMBER($G$45),E178+$G$45,"")</f>
        <v>430.5</v>
      </c>
      <c r="F177" s="568" t="str">
        <f>IF('Registro Original'!F177 = "", "", 'Registro Original'!F177)</f>
        <v/>
      </c>
      <c r="G177" s="36" t="str">
        <f t="shared" ref="G177:G188" si="110">IF(F177 &lt;&gt;"", IF(F177 = LARGE($F$177:$F$201,1), F177, ""), "")</f>
        <v/>
      </c>
      <c r="M177" s="31"/>
      <c r="U177" s="103" t="s">
        <v>88</v>
      </c>
      <c r="V177" s="104" t="s">
        <v>89</v>
      </c>
      <c r="W177" s="105" t="s">
        <v>90</v>
      </c>
      <c r="X177" s="104" t="s">
        <v>91</v>
      </c>
      <c r="Y177" s="106" t="s">
        <v>96</v>
      </c>
      <c r="Z177" s="626" t="s">
        <v>378</v>
      </c>
      <c r="AA177" s="627" t="s">
        <v>379</v>
      </c>
      <c r="AB177" s="627" t="s">
        <v>380</v>
      </c>
      <c r="AC177" s="632" t="s">
        <v>381</v>
      </c>
      <c r="AD177" s="50">
        <v>662.8</v>
      </c>
      <c r="AE177" s="51">
        <v>79.182000000000002</v>
      </c>
      <c r="AF177" s="52">
        <f t="shared" si="72"/>
        <v>0.10137353291983099</v>
      </c>
    </row>
    <row r="178" spans="1:94" ht="15" customHeight="1" thickBot="1">
      <c r="A178" s="46"/>
      <c r="B178" s="42">
        <f t="shared" si="107"/>
        <v>430</v>
      </c>
      <c r="C178" s="569" t="str">
        <f>IF('Registro Original'!C178 = "", "", 'Registro Original'!C178)</f>
        <v/>
      </c>
      <c r="D178" s="574" t="str">
        <f t="shared" si="108"/>
        <v/>
      </c>
      <c r="E178" s="42">
        <f t="shared" si="109"/>
        <v>429.5</v>
      </c>
      <c r="F178" s="569" t="str">
        <f>IF('Registro Original'!F178 = "", "", 'Registro Original'!F178)</f>
        <v/>
      </c>
      <c r="G178" s="36" t="str">
        <f t="shared" si="110"/>
        <v/>
      </c>
      <c r="M178" s="31"/>
      <c r="U178" s="644">
        <v>415.5</v>
      </c>
      <c r="V178" s="643">
        <v>0.13469999999999999</v>
      </c>
      <c r="W178" s="645">
        <v>418.7</v>
      </c>
      <c r="X178" s="643">
        <v>0.27029999999999998</v>
      </c>
      <c r="Y178" s="646">
        <f>(V178 + X178)/2</f>
        <v>0.20249999999999999</v>
      </c>
      <c r="Z178" s="630">
        <f>AC178 - AB178</f>
        <v>3</v>
      </c>
      <c r="AA178" s="628">
        <f>X178 - Y178</f>
        <v>6.7799999999999999E-2</v>
      </c>
      <c r="AB178" s="629">
        <v>417.3</v>
      </c>
      <c r="AC178" s="631">
        <v>420.3</v>
      </c>
      <c r="AD178" s="50">
        <v>662.7</v>
      </c>
      <c r="AE178" s="51">
        <v>79.094999999999999</v>
      </c>
      <c r="AF178" s="52">
        <f t="shared" si="72"/>
        <v>0.1018509696128546</v>
      </c>
    </row>
    <row r="179" spans="1:94" ht="15" customHeight="1" thickBot="1">
      <c r="A179" s="46"/>
      <c r="B179" s="42">
        <f t="shared" si="107"/>
        <v>429</v>
      </c>
      <c r="C179" s="569" t="str">
        <f>IF('Registro Original'!C179 = "", "", 'Registro Original'!C179)</f>
        <v/>
      </c>
      <c r="D179" s="574" t="str">
        <f t="shared" si="108"/>
        <v/>
      </c>
      <c r="E179" s="42">
        <f t="shared" si="109"/>
        <v>428.5</v>
      </c>
      <c r="F179" s="569" t="str">
        <f>IF('Registro Original'!F179 = "", "", 'Registro Original'!F179)</f>
        <v/>
      </c>
      <c r="G179" s="36" t="str">
        <f t="shared" si="110"/>
        <v/>
      </c>
      <c r="M179" s="31"/>
      <c r="AD179" s="50">
        <v>662.6</v>
      </c>
      <c r="AE179" s="51">
        <v>79.03</v>
      </c>
      <c r="AF179" s="52">
        <f t="shared" si="72"/>
        <v>0.10220801806077531</v>
      </c>
      <c r="AG179" s="746" t="s">
        <v>95</v>
      </c>
      <c r="AH179" s="50">
        <v>412.5</v>
      </c>
      <c r="AI179" s="50">
        <f t="shared" ref="AI179:CP179" si="111">AH179+0.2</f>
        <v>412.7</v>
      </c>
      <c r="AJ179" s="50">
        <f t="shared" si="111"/>
        <v>412.9</v>
      </c>
      <c r="AK179" s="50">
        <f t="shared" si="111"/>
        <v>413.09999999999997</v>
      </c>
      <c r="AL179" s="50">
        <f t="shared" si="111"/>
        <v>413.29999999999995</v>
      </c>
      <c r="AM179" s="50">
        <f t="shared" si="111"/>
        <v>413.49999999999994</v>
      </c>
      <c r="AN179" s="50">
        <f t="shared" si="111"/>
        <v>413.69999999999993</v>
      </c>
      <c r="AO179" s="50">
        <f t="shared" si="111"/>
        <v>413.89999999999992</v>
      </c>
      <c r="AP179" s="50">
        <f t="shared" si="111"/>
        <v>414.09999999999991</v>
      </c>
      <c r="AQ179" s="50">
        <f t="shared" si="111"/>
        <v>414.2999999999999</v>
      </c>
      <c r="AR179" s="50">
        <f t="shared" si="111"/>
        <v>414.49999999999989</v>
      </c>
      <c r="AS179" s="50">
        <f t="shared" si="111"/>
        <v>414.69999999999987</v>
      </c>
      <c r="AT179" s="50">
        <f t="shared" si="111"/>
        <v>414.89999999999986</v>
      </c>
      <c r="AU179" s="50">
        <f t="shared" si="111"/>
        <v>415.09999999999985</v>
      </c>
      <c r="AV179" s="50">
        <f t="shared" si="111"/>
        <v>415.29999999999984</v>
      </c>
      <c r="AW179" s="50">
        <f t="shared" si="111"/>
        <v>415.49999999999983</v>
      </c>
      <c r="AX179" s="50">
        <f t="shared" si="111"/>
        <v>415.69999999999982</v>
      </c>
      <c r="AY179" s="50">
        <f t="shared" si="111"/>
        <v>415.89999999999981</v>
      </c>
      <c r="AZ179" s="50">
        <f t="shared" si="111"/>
        <v>416.0999999999998</v>
      </c>
      <c r="BA179" s="50">
        <f t="shared" si="111"/>
        <v>416.29999999999978</v>
      </c>
      <c r="BB179" s="50">
        <f t="shared" si="111"/>
        <v>416.49999999999977</v>
      </c>
      <c r="BC179" s="50">
        <f t="shared" si="111"/>
        <v>416.69999999999976</v>
      </c>
      <c r="BD179" s="50">
        <f t="shared" si="111"/>
        <v>416.89999999999975</v>
      </c>
      <c r="BE179" s="50">
        <f t="shared" si="111"/>
        <v>417.09999999999974</v>
      </c>
      <c r="BF179" s="50">
        <f t="shared" si="111"/>
        <v>417.29999999999973</v>
      </c>
      <c r="BG179" s="50">
        <f t="shared" si="111"/>
        <v>417.49999999999972</v>
      </c>
      <c r="BH179" s="50">
        <f t="shared" si="111"/>
        <v>417.6999999999997</v>
      </c>
      <c r="BI179" s="50">
        <f t="shared" si="111"/>
        <v>417.89999999999969</v>
      </c>
      <c r="BJ179" s="50">
        <f t="shared" si="111"/>
        <v>418.09999999999968</v>
      </c>
      <c r="BK179" s="50">
        <f t="shared" si="111"/>
        <v>418.29999999999967</v>
      </c>
      <c r="BL179" s="50">
        <f t="shared" si="111"/>
        <v>418.49999999999966</v>
      </c>
      <c r="BM179" s="50">
        <f t="shared" si="111"/>
        <v>418.69999999999965</v>
      </c>
      <c r="BN179" s="50">
        <f t="shared" si="111"/>
        <v>418.89999999999964</v>
      </c>
      <c r="BO179" s="50">
        <f t="shared" si="111"/>
        <v>419.09999999999962</v>
      </c>
      <c r="BP179" s="50">
        <f t="shared" si="111"/>
        <v>419.29999999999961</v>
      </c>
      <c r="BQ179" s="50">
        <f t="shared" si="111"/>
        <v>419.4999999999996</v>
      </c>
      <c r="BR179" s="50">
        <f t="shared" si="111"/>
        <v>419.69999999999959</v>
      </c>
      <c r="BS179" s="50">
        <f t="shared" si="111"/>
        <v>419.89999999999958</v>
      </c>
      <c r="BT179" s="50">
        <f t="shared" si="111"/>
        <v>420.09999999999957</v>
      </c>
      <c r="BU179" s="50">
        <f t="shared" si="111"/>
        <v>420.29999999999956</v>
      </c>
      <c r="BV179" s="50">
        <f t="shared" si="111"/>
        <v>420.49999999999955</v>
      </c>
      <c r="BW179" s="50">
        <f t="shared" si="111"/>
        <v>420.69999999999953</v>
      </c>
      <c r="BX179" s="50">
        <f t="shared" si="111"/>
        <v>420.89999999999952</v>
      </c>
      <c r="BY179" s="50">
        <f t="shared" si="111"/>
        <v>421.09999999999951</v>
      </c>
      <c r="BZ179" s="50">
        <f t="shared" si="111"/>
        <v>421.2999999999995</v>
      </c>
      <c r="CA179" s="50">
        <f t="shared" si="111"/>
        <v>421.49999999999949</v>
      </c>
      <c r="CB179" s="50">
        <f t="shared" si="111"/>
        <v>421.69999999999948</v>
      </c>
      <c r="CC179" s="50">
        <f t="shared" si="111"/>
        <v>421.89999999999947</v>
      </c>
      <c r="CD179" s="50">
        <f t="shared" si="111"/>
        <v>422.09999999999945</v>
      </c>
      <c r="CE179" s="50">
        <f t="shared" si="111"/>
        <v>422.29999999999944</v>
      </c>
      <c r="CF179" s="50">
        <f t="shared" si="111"/>
        <v>422.49999999999943</v>
      </c>
      <c r="CG179" s="50">
        <f t="shared" si="111"/>
        <v>422.69999999999942</v>
      </c>
      <c r="CH179" s="50">
        <f t="shared" si="111"/>
        <v>422.89999999999941</v>
      </c>
      <c r="CI179" s="50">
        <f t="shared" si="111"/>
        <v>423.0999999999994</v>
      </c>
      <c r="CJ179" s="50">
        <f t="shared" si="111"/>
        <v>423.29999999999939</v>
      </c>
      <c r="CK179" s="50">
        <f t="shared" si="111"/>
        <v>423.49999999999937</v>
      </c>
      <c r="CL179" s="50">
        <f t="shared" si="111"/>
        <v>423.69999999999936</v>
      </c>
      <c r="CM179" s="50">
        <f t="shared" si="111"/>
        <v>423.89999999999935</v>
      </c>
      <c r="CN179" s="50">
        <f t="shared" si="111"/>
        <v>424.09999999999934</v>
      </c>
      <c r="CO179" s="50">
        <f t="shared" si="111"/>
        <v>424.29999999999933</v>
      </c>
      <c r="CP179" s="50">
        <f t="shared" si="111"/>
        <v>424.49999999999932</v>
      </c>
    </row>
    <row r="180" spans="1:94" ht="15" customHeight="1" thickBot="1">
      <c r="A180" s="46"/>
      <c r="B180" s="42">
        <f t="shared" si="107"/>
        <v>428</v>
      </c>
      <c r="C180" s="569" t="str">
        <f>IF('Registro Original'!C180 = "", "", 'Registro Original'!C180)</f>
        <v/>
      </c>
      <c r="D180" s="574" t="str">
        <f t="shared" si="108"/>
        <v/>
      </c>
      <c r="E180" s="42">
        <f t="shared" si="109"/>
        <v>427.5</v>
      </c>
      <c r="F180" s="569" t="str">
        <f>IF('Registro Original'!F180 = "", "", 'Registro Original'!F180)</f>
        <v/>
      </c>
      <c r="G180" s="36" t="str">
        <f t="shared" si="110"/>
        <v/>
      </c>
      <c r="M180" s="31"/>
      <c r="U180" s="822" t="s">
        <v>374</v>
      </c>
      <c r="V180" s="823"/>
      <c r="W180" s="823"/>
      <c r="X180" s="823"/>
      <c r="Y180" s="823"/>
      <c r="Z180" s="823"/>
      <c r="AA180" s="824"/>
      <c r="AC180" s="640" t="s">
        <v>343</v>
      </c>
      <c r="AD180" s="50">
        <v>662.5</v>
      </c>
      <c r="AE180" s="51">
        <v>79.057000000000002</v>
      </c>
      <c r="AF180" s="52">
        <f t="shared" si="72"/>
        <v>0.10205966998502711</v>
      </c>
      <c r="AG180" s="746"/>
      <c r="AH180" s="52">
        <f>$Y178</f>
        <v>0.20249999999999999</v>
      </c>
      <c r="AI180" s="52">
        <f t="shared" ref="AI180:CP180" si="112">AH180</f>
        <v>0.20249999999999999</v>
      </c>
      <c r="AJ180" s="52">
        <f t="shared" si="112"/>
        <v>0.20249999999999999</v>
      </c>
      <c r="AK180" s="52">
        <f t="shared" si="112"/>
        <v>0.20249999999999999</v>
      </c>
      <c r="AL180" s="52">
        <f t="shared" si="112"/>
        <v>0.20249999999999999</v>
      </c>
      <c r="AM180" s="52">
        <f t="shared" si="112"/>
        <v>0.20249999999999999</v>
      </c>
      <c r="AN180" s="52">
        <f t="shared" si="112"/>
        <v>0.20249999999999999</v>
      </c>
      <c r="AO180" s="52">
        <f t="shared" si="112"/>
        <v>0.20249999999999999</v>
      </c>
      <c r="AP180" s="52">
        <f t="shared" si="112"/>
        <v>0.20249999999999999</v>
      </c>
      <c r="AQ180" s="52">
        <f t="shared" si="112"/>
        <v>0.20249999999999999</v>
      </c>
      <c r="AR180" s="52">
        <f t="shared" si="112"/>
        <v>0.20249999999999999</v>
      </c>
      <c r="AS180" s="52">
        <f t="shared" si="112"/>
        <v>0.20249999999999999</v>
      </c>
      <c r="AT180" s="52">
        <f t="shared" si="112"/>
        <v>0.20249999999999999</v>
      </c>
      <c r="AU180" s="52">
        <f t="shared" si="112"/>
        <v>0.20249999999999999</v>
      </c>
      <c r="AV180" s="52">
        <f t="shared" si="112"/>
        <v>0.20249999999999999</v>
      </c>
      <c r="AW180" s="52">
        <f t="shared" si="112"/>
        <v>0.20249999999999999</v>
      </c>
      <c r="AX180" s="52">
        <f t="shared" si="112"/>
        <v>0.20249999999999999</v>
      </c>
      <c r="AY180" s="52">
        <f t="shared" si="112"/>
        <v>0.20249999999999999</v>
      </c>
      <c r="AZ180" s="52">
        <f t="shared" si="112"/>
        <v>0.20249999999999999</v>
      </c>
      <c r="BA180" s="52">
        <f t="shared" si="112"/>
        <v>0.20249999999999999</v>
      </c>
      <c r="BB180" s="52">
        <f t="shared" si="112"/>
        <v>0.20249999999999999</v>
      </c>
      <c r="BC180" s="52">
        <f t="shared" si="112"/>
        <v>0.20249999999999999</v>
      </c>
      <c r="BD180" s="52">
        <f t="shared" si="112"/>
        <v>0.20249999999999999</v>
      </c>
      <c r="BE180" s="52">
        <f t="shared" si="112"/>
        <v>0.20249999999999999</v>
      </c>
      <c r="BF180" s="52">
        <f t="shared" si="112"/>
        <v>0.20249999999999999</v>
      </c>
      <c r="BG180" s="52">
        <f t="shared" si="112"/>
        <v>0.20249999999999999</v>
      </c>
      <c r="BH180" s="52">
        <f t="shared" si="112"/>
        <v>0.20249999999999999</v>
      </c>
      <c r="BI180" s="52">
        <f t="shared" si="112"/>
        <v>0.20249999999999999</v>
      </c>
      <c r="BJ180" s="52">
        <f t="shared" si="112"/>
        <v>0.20249999999999999</v>
      </c>
      <c r="BK180" s="52">
        <f t="shared" si="112"/>
        <v>0.20249999999999999</v>
      </c>
      <c r="BL180" s="52">
        <f t="shared" si="112"/>
        <v>0.20249999999999999</v>
      </c>
      <c r="BM180" s="52">
        <f t="shared" si="112"/>
        <v>0.20249999999999999</v>
      </c>
      <c r="BN180" s="52">
        <f t="shared" si="112"/>
        <v>0.20249999999999999</v>
      </c>
      <c r="BO180" s="52">
        <f t="shared" si="112"/>
        <v>0.20249999999999999</v>
      </c>
      <c r="BP180" s="52">
        <f t="shared" si="112"/>
        <v>0.20249999999999999</v>
      </c>
      <c r="BQ180" s="52">
        <f t="shared" si="112"/>
        <v>0.20249999999999999</v>
      </c>
      <c r="BR180" s="52">
        <f t="shared" si="112"/>
        <v>0.20249999999999999</v>
      </c>
      <c r="BS180" s="52">
        <f t="shared" si="112"/>
        <v>0.20249999999999999</v>
      </c>
      <c r="BT180" s="52">
        <f t="shared" si="112"/>
        <v>0.20249999999999999</v>
      </c>
      <c r="BU180" s="52">
        <f t="shared" si="112"/>
        <v>0.20249999999999999</v>
      </c>
      <c r="BV180" s="52">
        <f t="shared" si="112"/>
        <v>0.20249999999999999</v>
      </c>
      <c r="BW180" s="52">
        <f t="shared" si="112"/>
        <v>0.20249999999999999</v>
      </c>
      <c r="BX180" s="52">
        <f t="shared" si="112"/>
        <v>0.20249999999999999</v>
      </c>
      <c r="BY180" s="52">
        <f t="shared" si="112"/>
        <v>0.20249999999999999</v>
      </c>
      <c r="BZ180" s="52">
        <f t="shared" si="112"/>
        <v>0.20249999999999999</v>
      </c>
      <c r="CA180" s="52">
        <f t="shared" si="112"/>
        <v>0.20249999999999999</v>
      </c>
      <c r="CB180" s="52">
        <f t="shared" si="112"/>
        <v>0.20249999999999999</v>
      </c>
      <c r="CC180" s="52">
        <f t="shared" si="112"/>
        <v>0.20249999999999999</v>
      </c>
      <c r="CD180" s="52">
        <f t="shared" si="112"/>
        <v>0.20249999999999999</v>
      </c>
      <c r="CE180" s="52">
        <f t="shared" si="112"/>
        <v>0.20249999999999999</v>
      </c>
      <c r="CF180" s="52">
        <f t="shared" si="112"/>
        <v>0.20249999999999999</v>
      </c>
      <c r="CG180" s="52">
        <f t="shared" si="112"/>
        <v>0.20249999999999999</v>
      </c>
      <c r="CH180" s="52">
        <f t="shared" si="112"/>
        <v>0.20249999999999999</v>
      </c>
      <c r="CI180" s="52">
        <f t="shared" si="112"/>
        <v>0.20249999999999999</v>
      </c>
      <c r="CJ180" s="52">
        <f t="shared" si="112"/>
        <v>0.20249999999999999</v>
      </c>
      <c r="CK180" s="52">
        <f t="shared" si="112"/>
        <v>0.20249999999999999</v>
      </c>
      <c r="CL180" s="52">
        <f t="shared" si="112"/>
        <v>0.20249999999999999</v>
      </c>
      <c r="CM180" s="52">
        <f t="shared" si="112"/>
        <v>0.20249999999999999</v>
      </c>
      <c r="CN180" s="52">
        <f t="shared" si="112"/>
        <v>0.20249999999999999</v>
      </c>
      <c r="CO180" s="52">
        <f t="shared" si="112"/>
        <v>0.20249999999999999</v>
      </c>
      <c r="CP180" s="52">
        <f t="shared" si="112"/>
        <v>0.20249999999999999</v>
      </c>
    </row>
    <row r="181" spans="1:94" ht="15" customHeight="1">
      <c r="A181" s="46"/>
      <c r="B181" s="42">
        <f t="shared" si="107"/>
        <v>427</v>
      </c>
      <c r="C181" s="569" t="str">
        <f>IF('Registro Original'!C181 = "", "", 'Registro Original'!C181)</f>
        <v/>
      </c>
      <c r="D181" s="574" t="str">
        <f t="shared" si="108"/>
        <v/>
      </c>
      <c r="E181" s="42">
        <f t="shared" si="109"/>
        <v>426.5</v>
      </c>
      <c r="F181" s="569" t="str">
        <f>IF('Registro Original'!F181 = "", "", 'Registro Original'!F181)</f>
        <v/>
      </c>
      <c r="G181" s="36" t="str">
        <f t="shared" si="110"/>
        <v/>
      </c>
      <c r="M181" s="31"/>
      <c r="U181" s="602" t="s">
        <v>359</v>
      </c>
      <c r="V181" s="88" t="s">
        <v>360</v>
      </c>
      <c r="W181" s="88" t="s">
        <v>361</v>
      </c>
      <c r="X181" s="88" t="s">
        <v>362</v>
      </c>
      <c r="Y181" s="88" t="s">
        <v>363</v>
      </c>
      <c r="Z181" s="88" t="s">
        <v>364</v>
      </c>
      <c r="AA181" s="603" t="s">
        <v>365</v>
      </c>
      <c r="AB181" s="735" t="s">
        <v>458</v>
      </c>
      <c r="AC181" s="736">
        <f>IF(U182="","",IF(AA182&lt;&gt;0, 6,5))</f>
        <v>6</v>
      </c>
      <c r="AD181" s="50">
        <v>662.4</v>
      </c>
      <c r="AE181" s="51">
        <v>79.066999999999993</v>
      </c>
      <c r="AF181" s="52">
        <f t="shared" si="72"/>
        <v>0.1020047391102096</v>
      </c>
    </row>
    <row r="182" spans="1:94" ht="15" customHeight="1">
      <c r="A182" s="46"/>
      <c r="B182" s="42">
        <f t="shared" si="107"/>
        <v>426</v>
      </c>
      <c r="C182" s="569">
        <f>IF('Registro Original'!C182 = "", "", 'Registro Original'!C182)</f>
        <v>8.7999999999999995E-2</v>
      </c>
      <c r="D182" s="574" t="str">
        <f t="shared" si="108"/>
        <v/>
      </c>
      <c r="E182" s="42">
        <f t="shared" si="109"/>
        <v>425.5</v>
      </c>
      <c r="F182" s="569">
        <f>IF('Registro Original'!F182 = "", "", 'Registro Original'!F182)</f>
        <v>0.09</v>
      </c>
      <c r="G182" s="36" t="str">
        <f t="shared" si="110"/>
        <v/>
      </c>
      <c r="M182" s="31"/>
      <c r="U182" s="633">
        <v>443547916510.44397</v>
      </c>
      <c r="V182" s="612">
        <v>-6351239569.5124598</v>
      </c>
      <c r="W182" s="612">
        <v>37893418.568795301</v>
      </c>
      <c r="X182" s="612">
        <v>-120577.532305659</v>
      </c>
      <c r="Y182" s="612">
        <v>215.81921466891899</v>
      </c>
      <c r="Z182" s="612">
        <v>-0.20602083275213101</v>
      </c>
      <c r="AA182" s="634">
        <v>8.1944444213277693E-5</v>
      </c>
      <c r="AB182" s="737" t="s">
        <v>459</v>
      </c>
      <c r="AC182" s="732">
        <f>IF(AC181="", "",AC181 +1)</f>
        <v>7</v>
      </c>
      <c r="AD182" s="50">
        <v>662.3</v>
      </c>
      <c r="AE182" s="51">
        <v>79.108000000000004</v>
      </c>
      <c r="AF182" s="52">
        <f t="shared" si="72"/>
        <v>0.10177959513477962</v>
      </c>
    </row>
    <row r="183" spans="1:94" ht="15" customHeight="1">
      <c r="A183" s="590" t="s">
        <v>352</v>
      </c>
      <c r="B183" s="42">
        <f t="shared" si="107"/>
        <v>425</v>
      </c>
      <c r="C183" s="569">
        <f>IF('Registro Original'!C183 = "", "", 'Registro Original'!C183)</f>
        <v>9.2999999999999999E-2</v>
      </c>
      <c r="D183" s="574" t="str">
        <f t="shared" si="108"/>
        <v/>
      </c>
      <c r="E183" s="42">
        <f t="shared" si="109"/>
        <v>424.5</v>
      </c>
      <c r="F183" s="569">
        <f>IF('Registro Original'!F183 = "", "", 'Registro Original'!F183)</f>
        <v>9.4E-2</v>
      </c>
      <c r="G183" s="36" t="str">
        <f t="shared" si="110"/>
        <v/>
      </c>
      <c r="M183" s="31"/>
      <c r="U183" s="606" t="s">
        <v>373</v>
      </c>
      <c r="V183" s="607" t="s">
        <v>369</v>
      </c>
      <c r="W183" s="601" t="s">
        <v>375</v>
      </c>
      <c r="X183" s="601" t="s">
        <v>367</v>
      </c>
      <c r="Y183" s="601" t="s">
        <v>368</v>
      </c>
      <c r="Z183" s="635" t="s">
        <v>370</v>
      </c>
      <c r="AA183" s="636" t="s">
        <v>369</v>
      </c>
      <c r="AB183" s="737" t="s">
        <v>460</v>
      </c>
      <c r="AC183" s="605">
        <f xml:space="preserve"> 0.999999914099733</f>
        <v>0.99999991409973299</v>
      </c>
      <c r="AD183" s="50">
        <v>662.2</v>
      </c>
      <c r="AE183" s="51">
        <v>79.093999999999994</v>
      </c>
      <c r="AF183" s="52">
        <f t="shared" si="72"/>
        <v>0.10185646044321463</v>
      </c>
    </row>
    <row r="184" spans="1:94" ht="15" customHeight="1">
      <c r="A184" s="46"/>
      <c r="B184" s="42">
        <f t="shared" si="107"/>
        <v>424</v>
      </c>
      <c r="C184" s="569">
        <f>IF('Registro Original'!C184 = "", "", 'Registro Original'!C184)</f>
        <v>9.7000000000000003E-2</v>
      </c>
      <c r="D184" s="574" t="str">
        <f t="shared" si="108"/>
        <v/>
      </c>
      <c r="E184" s="42">
        <f t="shared" si="109"/>
        <v>423.5</v>
      </c>
      <c r="F184" s="569">
        <f>IF('Registro Original'!F184 = "", "", 'Registro Original'!F184)</f>
        <v>9.9000000000000005E-2</v>
      </c>
      <c r="G184" s="36" t="str">
        <f t="shared" si="110"/>
        <v/>
      </c>
      <c r="M184" s="31"/>
      <c r="U184" s="608">
        <v>1</v>
      </c>
      <c r="V184" s="624">
        <v>418.6</v>
      </c>
      <c r="W184" s="604">
        <f xml:space="preserve"> $U$182 + $V$182*(V184) + $W$182*(V184^2) + $X$182*(V184^3) + $Y$182*(V184^4) + $Z$182*(V184^5) + $AA$182*(V184^6)</f>
        <v>0.1363525390625</v>
      </c>
      <c r="X184" s="604">
        <f xml:space="preserve"> ($V$182 +  2*$W$182*(V184) +  3*$X$182*(V184^2) + 4*$Y$182*(V184^3) + 5*$Z$182*(V184^4) + 6*$AA$182*(V184^5))</f>
        <v>1.9321441650390625E-3</v>
      </c>
      <c r="Y184" s="617">
        <f xml:space="preserve"> (2*$W$182 + 6*$X$182*(V184) + 12*$Y$182*(V184^2) + 20*$Z$182*(V184^3) + 30*$AA$182*(V184^4))</f>
        <v>-1.3780534267425537E-2</v>
      </c>
      <c r="Z184" s="605">
        <f>V184 - (X184/Y184)</f>
        <v>418.74020821889371</v>
      </c>
      <c r="AA184" s="638">
        <v>418.69113814807281</v>
      </c>
      <c r="AB184" s="738" t="s">
        <v>461</v>
      </c>
      <c r="AC184" s="605">
        <f>IF(AC183="",  "", SQRT(AC183)/(AC182))</f>
        <v>0.14285713672140937</v>
      </c>
      <c r="AD184" s="50">
        <v>662.1</v>
      </c>
      <c r="AE184" s="51">
        <v>79.097999999999999</v>
      </c>
      <c r="AF184" s="52">
        <f t="shared" si="72"/>
        <v>0.10183449753828916</v>
      </c>
    </row>
    <row r="185" spans="1:94" ht="15" customHeight="1">
      <c r="A185" s="46"/>
      <c r="B185" s="42">
        <f t="shared" si="107"/>
        <v>423</v>
      </c>
      <c r="C185" s="569">
        <f>IF('Registro Original'!C185 = "", "", 'Registro Original'!C185)</f>
        <v>0.107</v>
      </c>
      <c r="D185" s="574" t="str">
        <f t="shared" si="108"/>
        <v/>
      </c>
      <c r="E185" s="42">
        <f t="shared" si="109"/>
        <v>422.5</v>
      </c>
      <c r="F185" s="569">
        <f>IF('Registro Original'!F185 = "", "", 'Registro Original'!F185)</f>
        <v>0.111</v>
      </c>
      <c r="G185" s="36" t="str">
        <f t="shared" si="110"/>
        <v/>
      </c>
      <c r="M185" s="31"/>
      <c r="U185" s="608">
        <v>2</v>
      </c>
      <c r="V185" s="610">
        <f>Z184</f>
        <v>418.74020821889371</v>
      </c>
      <c r="W185" s="604">
        <f xml:space="preserve"> $U$182 + $V$182*(V185) + $W$182*(V185^2) + $X$182*(V185^3) + $Y$182*(V185^4) + $Z$182*(V185^5) + $AA$182*(V185^6)</f>
        <v>0.13458251953125</v>
      </c>
      <c r="X185" s="604">
        <f xml:space="preserve"> ($V$182 +  2*$W$182*(V185) +  3*$X$182*(V185^2) + 4*$Y$182*(V185^3) + 5*$Z$182*(V185^4) + 6*$AA$182*(V185^5))</f>
        <v>7.724761962890625E-5</v>
      </c>
      <c r="Y185" s="617">
        <f xml:space="preserve"> (2*$W$182 + 6*$X$182*(V185) + 12*$Y$182*(V185^2) + 20*$Z$182*(V185^3) + 30*$AA$182*(V185^4))</f>
        <v>-1.2802377343177795E-2</v>
      </c>
      <c r="Z185" s="605">
        <f>V185 - (X185/Y185)</f>
        <v>418.7462420685107</v>
      </c>
      <c r="AA185" s="620" t="s">
        <v>371</v>
      </c>
      <c r="AB185" s="738" t="s">
        <v>463</v>
      </c>
      <c r="AC185" s="732">
        <f>COUNT(U182,U192)</f>
        <v>2</v>
      </c>
      <c r="AD185" s="50">
        <v>662</v>
      </c>
      <c r="AE185" s="51">
        <v>79.045000000000002</v>
      </c>
      <c r="AF185" s="52">
        <f t="shared" si="72"/>
        <v>0.1021255962072488</v>
      </c>
    </row>
    <row r="186" spans="1:94" ht="15" customHeight="1">
      <c r="A186" s="46"/>
      <c r="B186" s="42">
        <f t="shared" si="107"/>
        <v>422</v>
      </c>
      <c r="C186" s="569">
        <f>IF('Registro Original'!C186 = "", "", 'Registro Original'!C186)</f>
        <v>0.122</v>
      </c>
      <c r="D186" s="574" t="str">
        <f t="shared" si="108"/>
        <v/>
      </c>
      <c r="E186" s="42">
        <f t="shared" si="109"/>
        <v>421.5</v>
      </c>
      <c r="F186" s="569">
        <f>IF('Registro Original'!F186 = "", "", 'Registro Original'!F186)</f>
        <v>0.127</v>
      </c>
      <c r="G186" s="36" t="str">
        <f t="shared" si="110"/>
        <v/>
      </c>
      <c r="M186" s="31"/>
      <c r="U186" s="608">
        <v>3</v>
      </c>
      <c r="V186" s="610">
        <f t="shared" ref="V186:V189" si="113">Z185</f>
        <v>418.7462420685107</v>
      </c>
      <c r="W186" s="604">
        <f t="shared" ref="W186:W190" si="114" xml:space="preserve"> $U$182 + $V$182*(V186) + $W$182*(V186^2) + $X$182*(V186^3) + $Y$182*(V186^4) + $Z$182*(V186^5) + $AA$182*(V186^6)</f>
        <v>0.135009765625</v>
      </c>
      <c r="X186" s="604">
        <f t="shared" ref="X186:X190" si="115" xml:space="preserve"> ($V$182 +  2*$W$182*(V186) +  3*$X$182*(V186^2) + 4*$Y$182*(V186^3) + 5*$Z$182*(V186^4) + 6*$AA$182*(V186^5))</f>
        <v>0</v>
      </c>
      <c r="Y186" s="617">
        <f t="shared" ref="Y186:Y190" si="116" xml:space="preserve"> (2*$W$182 + 6*$X$182*(V186) + 12*$Y$182*(V186^2) + 20*$Z$182*(V186^3) + 30*$AA$182*(V186^4))</f>
        <v>-1.276630163192749E-2</v>
      </c>
      <c r="Z186" s="605">
        <f t="shared" ref="Z186:Z190" si="117">V186 - (X186/Y186)</f>
        <v>418.7462420685107</v>
      </c>
      <c r="AA186" s="637">
        <f xml:space="preserve"> ($V$182 +  2*$W$182*(AA184) +  3*$X$182*(AA184^2) + 4*$Y$182*(AA184^3) + 5*$Z$182*(AA184^4) + 6*$AA$182*(AA184^5))</f>
        <v>7.171630859375E-4</v>
      </c>
      <c r="AB186" s="739" t="s">
        <v>462</v>
      </c>
      <c r="AC186" s="634">
        <f>IF(AC184="", "", AC184/SQRT(AC185))</f>
        <v>0.10101525011660231</v>
      </c>
      <c r="AD186" s="50">
        <v>661.9</v>
      </c>
      <c r="AE186" s="51">
        <v>79.113</v>
      </c>
      <c r="AF186" s="52">
        <f t="shared" si="72"/>
        <v>0.10175214653553882</v>
      </c>
    </row>
    <row r="187" spans="1:94" ht="15" customHeight="1">
      <c r="A187" s="46"/>
      <c r="B187" s="42">
        <f t="shared" si="107"/>
        <v>421</v>
      </c>
      <c r="C187" s="569">
        <f>IF('Registro Original'!C187 = "", "", 'Registro Original'!C187)</f>
        <v>0.14199999999999999</v>
      </c>
      <c r="D187" s="574" t="str">
        <f t="shared" si="108"/>
        <v/>
      </c>
      <c r="E187" s="42">
        <f t="shared" si="109"/>
        <v>420.5</v>
      </c>
      <c r="F187" s="569">
        <f>IF('Registro Original'!F187 = "", "", 'Registro Original'!F187)</f>
        <v>0.14799999999999999</v>
      </c>
      <c r="G187" s="36" t="str">
        <f t="shared" si="110"/>
        <v/>
      </c>
      <c r="M187" s="31"/>
      <c r="U187" s="608">
        <v>4</v>
      </c>
      <c r="V187" s="610">
        <f t="shared" si="113"/>
        <v>418.7462420685107</v>
      </c>
      <c r="W187" s="604">
        <f t="shared" si="114"/>
        <v>0.135009765625</v>
      </c>
      <c r="X187" s="604">
        <f t="shared" si="115"/>
        <v>0</v>
      </c>
      <c r="Y187" s="617">
        <f t="shared" si="116"/>
        <v>-1.276630163192749E-2</v>
      </c>
      <c r="Z187" s="605">
        <f t="shared" si="117"/>
        <v>418.7462420685107</v>
      </c>
      <c r="AA187" s="621"/>
      <c r="AD187" s="50">
        <v>661.8</v>
      </c>
      <c r="AE187" s="51">
        <v>79.12</v>
      </c>
      <c r="AF187" s="52">
        <f t="shared" si="72"/>
        <v>0.10171372141087701</v>
      </c>
    </row>
    <row r="188" spans="1:94" ht="15" customHeight="1">
      <c r="A188" s="59" t="s">
        <v>342</v>
      </c>
      <c r="B188" s="42">
        <f>IF(ISNUMBER($G$45),B189+$G$45,"")</f>
        <v>420</v>
      </c>
      <c r="C188" s="569">
        <f>IF('Registro Original'!C188 = "", "", 'Registro Original'!C188)</f>
        <v>0.16600000000000001</v>
      </c>
      <c r="D188" s="574" t="str">
        <f t="shared" si="108"/>
        <v/>
      </c>
      <c r="E188" s="42">
        <f>IF(ISNUMBER($G$45),E189+$K$45,"")</f>
        <v>419.5</v>
      </c>
      <c r="F188" s="569">
        <f>IF('Registro Original'!F188 = "", "", 'Registro Original'!F188)</f>
        <v>0.16900000000000001</v>
      </c>
      <c r="G188" s="36" t="str">
        <f t="shared" si="110"/>
        <v/>
      </c>
      <c r="M188" s="31"/>
      <c r="U188" s="608">
        <v>5</v>
      </c>
      <c r="V188" s="610">
        <f t="shared" si="113"/>
        <v>418.7462420685107</v>
      </c>
      <c r="W188" s="604">
        <f t="shared" si="114"/>
        <v>0.135009765625</v>
      </c>
      <c r="X188" s="604">
        <f t="shared" si="115"/>
        <v>0</v>
      </c>
      <c r="Y188" s="617">
        <f t="shared" si="116"/>
        <v>-1.276630163192749E-2</v>
      </c>
      <c r="Z188" s="605">
        <f t="shared" si="117"/>
        <v>418.7462420685107</v>
      </c>
      <c r="AA188" s="621"/>
      <c r="AD188" s="50">
        <v>661.7</v>
      </c>
      <c r="AE188" s="51">
        <v>79.143000000000001</v>
      </c>
      <c r="AF188" s="52">
        <f t="shared" si="72"/>
        <v>0.10158749136147703</v>
      </c>
    </row>
    <row r="189" spans="1:94" ht="15" customHeight="1">
      <c r="A189" s="45">
        <v>418.78</v>
      </c>
      <c r="B189" s="122">
        <v>419</v>
      </c>
      <c r="C189" s="569">
        <f>IF('Registro Original'!C189 = "", "", 'Registro Original'!C189)</f>
        <v>0.17499999999999999</v>
      </c>
      <c r="D189" s="574">
        <f>IF(C189&lt;&gt;"",IF(C189 = LARGE($C$177:$C$201,1), C189, ""), "")</f>
        <v>0.17499999999999999</v>
      </c>
      <c r="E189" s="122">
        <v>419</v>
      </c>
      <c r="F189" s="569">
        <f>IF('Registro Original'!F189 = "", "", 'Registro Original'!F189)</f>
        <v>0.17499999999999999</v>
      </c>
      <c r="G189" s="36">
        <f>IF(F189 &lt;&gt;"", IF(F189 = LARGE($F$177:$F$201,1), F189, ""), "")</f>
        <v>0.17499999999999999</v>
      </c>
      <c r="M189" s="31"/>
      <c r="U189" s="608">
        <v>6</v>
      </c>
      <c r="V189" s="610">
        <f t="shared" si="113"/>
        <v>418.7462420685107</v>
      </c>
      <c r="W189" s="604">
        <f t="shared" si="114"/>
        <v>0.135009765625</v>
      </c>
      <c r="X189" s="604">
        <f t="shared" si="115"/>
        <v>0</v>
      </c>
      <c r="Y189" s="617">
        <f t="shared" si="116"/>
        <v>-1.276630163192749E-2</v>
      </c>
      <c r="Z189" s="605">
        <f t="shared" si="117"/>
        <v>418.7462420685107</v>
      </c>
      <c r="AA189" s="621"/>
      <c r="AD189" s="50">
        <v>661.6</v>
      </c>
      <c r="AE189" s="51">
        <v>79.13</v>
      </c>
      <c r="AF189" s="52">
        <f t="shared" si="72"/>
        <v>0.10165883427249074</v>
      </c>
    </row>
    <row r="190" spans="1:94" ht="15" customHeight="1" thickBot="1">
      <c r="A190" s="46"/>
      <c r="B190" s="42">
        <f>IF(ISNUMBER($G$45),B189-$G$45,"")</f>
        <v>418</v>
      </c>
      <c r="C190" s="569">
        <f>IF('Registro Original'!C190 = "", "", 'Registro Original'!C190)</f>
        <v>0.17100000000000001</v>
      </c>
      <c r="D190" s="574" t="str">
        <f t="shared" ref="D190:D201" si="118">IF(C190&lt;&gt;"",IF(C190 = LARGE($C$177:$C$201,1), C190, ""), "")</f>
        <v/>
      </c>
      <c r="E190" s="42">
        <f>IF(ISNUMBER($G$45),E189-$K$45,"")</f>
        <v>418.5</v>
      </c>
      <c r="F190" s="569">
        <f>IF('Registro Original'!F190 = "", "", 'Registro Original'!F190)</f>
        <v>0.16600000000000001</v>
      </c>
      <c r="G190" s="36" t="str">
        <f t="shared" ref="G190:G201" si="119">IF(F190 &lt;&gt;"", IF(F190 = LARGE($F$177:$F$201,1), F190, ""), "")</f>
        <v/>
      </c>
      <c r="M190" s="31"/>
      <c r="U190" s="611">
        <v>7</v>
      </c>
      <c r="V190" s="657">
        <f>Z189</f>
        <v>418.7462420685107</v>
      </c>
      <c r="W190" s="612">
        <f t="shared" si="114"/>
        <v>0.135009765625</v>
      </c>
      <c r="X190" s="612">
        <f t="shared" si="115"/>
        <v>0</v>
      </c>
      <c r="Y190" s="618">
        <f t="shared" si="116"/>
        <v>-1.276630163192749E-2</v>
      </c>
      <c r="Z190" s="634">
        <f t="shared" si="117"/>
        <v>418.7462420685107</v>
      </c>
      <c r="AA190" s="622"/>
      <c r="AD190" s="50">
        <v>661.5</v>
      </c>
      <c r="AE190" s="51">
        <v>79.215000000000003</v>
      </c>
      <c r="AF190" s="52">
        <f t="shared" si="72"/>
        <v>0.10119257345582394</v>
      </c>
    </row>
    <row r="191" spans="1:94" ht="15" customHeight="1">
      <c r="A191" s="46"/>
      <c r="B191" s="42">
        <f t="shared" ref="B191:B201" si="120">IF(ISNUMBER($G$45),B190-$G$45,"")</f>
        <v>417</v>
      </c>
      <c r="C191" s="569">
        <f>IF('Registro Original'!C191 = "", "", 'Registro Original'!C191)</f>
        <v>0.14899999999999999</v>
      </c>
      <c r="D191" s="574" t="str">
        <f t="shared" si="118"/>
        <v/>
      </c>
      <c r="E191" s="42">
        <f t="shared" ref="E191:E201" si="121">IF(ISNUMBER($G$45),E190-$K$45,"")</f>
        <v>418</v>
      </c>
      <c r="F191" s="569">
        <f>IF('Registro Original'!F191 = "", "", 'Registro Original'!F191)</f>
        <v>0.14299999999999999</v>
      </c>
      <c r="G191" s="36" t="str">
        <f t="shared" si="119"/>
        <v/>
      </c>
      <c r="M191" s="31"/>
      <c r="U191" s="602" t="s">
        <v>359</v>
      </c>
      <c r="V191" s="88" t="s">
        <v>360</v>
      </c>
      <c r="W191" s="88" t="s">
        <v>361</v>
      </c>
      <c r="X191" s="88" t="s">
        <v>362</v>
      </c>
      <c r="Y191" s="88" t="s">
        <v>363</v>
      </c>
      <c r="Z191" s="88" t="s">
        <v>364</v>
      </c>
      <c r="AA191" s="603" t="s">
        <v>365</v>
      </c>
      <c r="AB191" s="735" t="s">
        <v>458</v>
      </c>
      <c r="AC191" s="736">
        <f>IF(U192="","",IF(AA192&lt;&gt;0, 6,5))</f>
        <v>6</v>
      </c>
      <c r="AD191" s="50">
        <v>661.4</v>
      </c>
      <c r="AE191" s="51">
        <v>79.281000000000006</v>
      </c>
      <c r="AF191" s="52">
        <f t="shared" si="72"/>
        <v>0.10083088057445949</v>
      </c>
    </row>
    <row r="192" spans="1:94" ht="15" customHeight="1">
      <c r="A192" s="46"/>
      <c r="B192" s="42">
        <f t="shared" si="120"/>
        <v>416</v>
      </c>
      <c r="C192" s="569">
        <f>IF('Registro Original'!C192 = "", "", 'Registro Original'!C192)</f>
        <v>0.128</v>
      </c>
      <c r="D192" s="574" t="str">
        <f t="shared" si="118"/>
        <v/>
      </c>
      <c r="E192" s="42">
        <f t="shared" si="121"/>
        <v>417.5</v>
      </c>
      <c r="F192" s="569">
        <f>IF('Registro Original'!F192 = "", "", 'Registro Original'!F192)</f>
        <v>0.122</v>
      </c>
      <c r="G192" s="36" t="str">
        <f t="shared" si="119"/>
        <v/>
      </c>
      <c r="M192" s="31"/>
      <c r="U192" s="633">
        <v>210426272884.112</v>
      </c>
      <c r="V192" s="612">
        <v>-3013286496.0295701</v>
      </c>
      <c r="W192" s="612">
        <v>17979143.532223299</v>
      </c>
      <c r="X192" s="612">
        <v>-57213.123075675299</v>
      </c>
      <c r="Y192" s="612">
        <v>102.410430243668</v>
      </c>
      <c r="Z192" s="612">
        <v>-9.7766666369068403E-2</v>
      </c>
      <c r="AA192" s="634">
        <v>3.8888888770571798E-5</v>
      </c>
      <c r="AB192" s="737" t="s">
        <v>459</v>
      </c>
      <c r="AC192" s="732">
        <f>IF(AC191="", "",AC191 +1)</f>
        <v>7</v>
      </c>
      <c r="AD192" s="50">
        <v>661.3</v>
      </c>
      <c r="AE192" s="51">
        <v>79.361000000000004</v>
      </c>
      <c r="AF192" s="52">
        <f t="shared" si="72"/>
        <v>0.10039286842764669</v>
      </c>
    </row>
    <row r="193" spans="1:94" ht="15" customHeight="1">
      <c r="A193" s="46"/>
      <c r="B193" s="42">
        <f t="shared" si="120"/>
        <v>415</v>
      </c>
      <c r="C193" s="569">
        <f>IF('Registro Original'!C193 = "", "", 'Registro Original'!C193)</f>
        <v>0.109</v>
      </c>
      <c r="D193" s="574" t="str">
        <f t="shared" si="118"/>
        <v/>
      </c>
      <c r="E193" s="42">
        <f t="shared" si="121"/>
        <v>417</v>
      </c>
      <c r="F193" s="569">
        <f>IF('Registro Original'!F193 = "", "", 'Registro Original'!F193)</f>
        <v>0.104</v>
      </c>
      <c r="G193" s="36" t="str">
        <f t="shared" si="119"/>
        <v/>
      </c>
      <c r="M193" s="31"/>
      <c r="U193" s="606" t="s">
        <v>373</v>
      </c>
      <c r="V193" s="607" t="s">
        <v>369</v>
      </c>
      <c r="W193" s="601" t="s">
        <v>375</v>
      </c>
      <c r="X193" s="601" t="s">
        <v>367</v>
      </c>
      <c r="Y193" s="601" t="s">
        <v>368</v>
      </c>
      <c r="Z193" s="635" t="s">
        <v>370</v>
      </c>
      <c r="AA193" s="636" t="s">
        <v>369</v>
      </c>
      <c r="AB193" s="737" t="s">
        <v>460</v>
      </c>
      <c r="AC193" s="605">
        <f xml:space="preserve"> 1.00000004665067</f>
        <v>1.00000004665067</v>
      </c>
      <c r="AD193" s="50">
        <v>661.2</v>
      </c>
      <c r="AE193" s="51">
        <v>79.481999999999999</v>
      </c>
      <c r="AF193" s="52">
        <f t="shared" si="72"/>
        <v>9.9731213303093216E-2</v>
      </c>
    </row>
    <row r="194" spans="1:94" ht="15" customHeight="1">
      <c r="A194" s="46"/>
      <c r="B194" s="42">
        <f t="shared" si="120"/>
        <v>414</v>
      </c>
      <c r="C194" s="569">
        <f>IF('Registro Original'!C194 = "", "", 'Registro Original'!C194)</f>
        <v>0.09</v>
      </c>
      <c r="D194" s="574" t="str">
        <f t="shared" si="118"/>
        <v/>
      </c>
      <c r="E194" s="42">
        <f t="shared" si="121"/>
        <v>416.5</v>
      </c>
      <c r="F194" s="569">
        <f>IF('Registro Original'!F194 = "", "", 'Registro Original'!F194)</f>
        <v>8.6999999999999994E-2</v>
      </c>
      <c r="G194" s="36" t="str">
        <f t="shared" si="119"/>
        <v/>
      </c>
      <c r="M194" s="31"/>
      <c r="U194" s="608">
        <v>1</v>
      </c>
      <c r="V194" s="642">
        <v>419.2</v>
      </c>
      <c r="W194" s="604">
        <f xml:space="preserve"> $U$182 + $V$182*(V194) + $W$182*(V194^2) + $X$182*(V194^3) + $Y$182*(V194^4) + $Z$182*(V194^5) + $AA$182*(V194^6)</f>
        <v>0.1348876953125</v>
      </c>
      <c r="X194" s="604">
        <f xml:space="preserve"> ($V$182 +  2*$W$182*(V194) +  3*$X$182*(V194^2) + 4*$Y$182*(V194^3) + 5*$Z$182*(V194^4) + 6*$AA$182*(V194^5))</f>
        <v>-5.4235458374023438E-3</v>
      </c>
      <c r="Y194" s="617">
        <f xml:space="preserve"> (2*$W$182 + 6*$X$182*(V194) + 12*$Y$182*(V194^2) + 20*$Z$182*(V194^3) + 30*$AA$182*(V194^4))</f>
        <v>-1.1722579598426819E-2</v>
      </c>
      <c r="Z194" s="605">
        <f>V194 - (X194/Y194)</f>
        <v>418.73734194834299</v>
      </c>
      <c r="AA194" s="639">
        <v>419.10145053796725</v>
      </c>
      <c r="AB194" s="738" t="s">
        <v>461</v>
      </c>
      <c r="AC194" s="605">
        <f>IF(AC193="",  "", SQRT(AC193)/(AC192))</f>
        <v>0.14285714618933354</v>
      </c>
      <c r="AD194" s="50">
        <v>661.1</v>
      </c>
      <c r="AE194" s="51">
        <v>79.513999999999996</v>
      </c>
      <c r="AF194" s="52">
        <f t="shared" si="72"/>
        <v>9.9556398545381702E-2</v>
      </c>
    </row>
    <row r="195" spans="1:94" ht="15" customHeight="1">
      <c r="A195" s="590" t="s">
        <v>351</v>
      </c>
      <c r="B195" s="42">
        <f t="shared" si="120"/>
        <v>413</v>
      </c>
      <c r="C195" s="569">
        <f>IF('Registro Original'!C195 = "", "", 'Registro Original'!C195)</f>
        <v>7.8E-2</v>
      </c>
      <c r="D195" s="574" t="str">
        <f t="shared" si="118"/>
        <v/>
      </c>
      <c r="E195" s="42">
        <f t="shared" si="121"/>
        <v>416</v>
      </c>
      <c r="F195" s="569">
        <f>IF('Registro Original'!F195 = "", "", 'Registro Original'!F195)</f>
        <v>7.4999999999999997E-2</v>
      </c>
      <c r="G195" s="36" t="str">
        <f t="shared" si="119"/>
        <v/>
      </c>
      <c r="M195" s="31"/>
      <c r="U195" s="608">
        <v>2</v>
      </c>
      <c r="V195" s="610">
        <f>Z194</f>
        <v>418.73734194834299</v>
      </c>
      <c r="W195" s="604">
        <f xml:space="preserve"> $U$182 + $V$182*(V195) + $W$182*(V195^2) + $X$182*(V195^3) + $Y$182*(V195^4) + $Z$182*(V195^5) + $AA$182*(V195^6)</f>
        <v>0.13629150390625</v>
      </c>
      <c r="X195" s="604">
        <f xml:space="preserve"> ($V$182 +  2*$W$182*(V195) +  3*$X$182*(V195^2) + 4*$Y$182*(V195^3) + 5*$Z$182*(V195^4) + 6*$AA$182*(V195^5))</f>
        <v>1.1444091796875E-4</v>
      </c>
      <c r="Y195" s="617">
        <f xml:space="preserve"> (2*$W$182 + 6*$X$182*(V195) + 12*$Y$182*(V195^2) + 20*$Z$182*(V195^3) + 30*$AA$182*(V195^4))</f>
        <v>-1.281970739364624E-2</v>
      </c>
      <c r="Z195" s="605">
        <f>V195 - (X195/Y195)</f>
        <v>418.74626890076513</v>
      </c>
      <c r="AA195" s="620" t="s">
        <v>371</v>
      </c>
      <c r="AB195" s="738" t="s">
        <v>463</v>
      </c>
      <c r="AC195" s="732">
        <f>COUNT(U182,U192)</f>
        <v>2</v>
      </c>
      <c r="AD195" s="50">
        <v>661</v>
      </c>
      <c r="AE195" s="51">
        <v>79.613</v>
      </c>
      <c r="AF195" s="52">
        <f t="shared" si="72"/>
        <v>9.9016010562755052E-2</v>
      </c>
    </row>
    <row r="196" spans="1:94" ht="15" customHeight="1">
      <c r="A196" s="46"/>
      <c r="B196" s="42">
        <f t="shared" si="120"/>
        <v>412</v>
      </c>
      <c r="C196" s="569" t="str">
        <f>IF('Registro Original'!C196 = "", "", 'Registro Original'!C196)</f>
        <v/>
      </c>
      <c r="D196" s="574" t="str">
        <f t="shared" si="118"/>
        <v/>
      </c>
      <c r="E196" s="42">
        <f t="shared" si="121"/>
        <v>415.5</v>
      </c>
      <c r="F196" s="569">
        <f>IF('Registro Original'!F196 = "", "", 'Registro Original'!F196)</f>
        <v>6.6000000000000003E-2</v>
      </c>
      <c r="G196" s="36" t="str">
        <f t="shared" si="119"/>
        <v/>
      </c>
      <c r="M196" s="31"/>
      <c r="U196" s="608">
        <v>3</v>
      </c>
      <c r="V196" s="610">
        <f t="shared" ref="V196:V200" si="122">Z195</f>
        <v>418.74626890076513</v>
      </c>
      <c r="W196" s="604">
        <f t="shared" ref="W196:W200" si="123" xml:space="preserve"> $U$182 + $V$182*(V196) + $W$182*(V196^2) + $X$182*(V196^3) + $Y$182*(V196^4) + $Z$182*(V196^5) + $AA$182*(V196^6)</f>
        <v>0.135009765625</v>
      </c>
      <c r="X196" s="604">
        <f t="shared" ref="X196:X200" si="124" xml:space="preserve"> ($V$182 +  2*$W$182*(V196) +  3*$X$182*(V196^2) + 4*$Y$182*(V196^3) + 5*$Z$182*(V196^4) + 6*$AA$182*(V196^5))</f>
        <v>0</v>
      </c>
      <c r="Y196" s="617">
        <f t="shared" ref="Y196:Y200" si="125" xml:space="preserve"> (2*$W$182 + 6*$X$182*(V196) + 12*$Y$182*(V196^2) + 20*$Z$182*(V196^3) + 30*$AA$182*(V196^4))</f>
        <v>-1.2766212224960327E-2</v>
      </c>
      <c r="Z196" s="605">
        <f t="shared" ref="Z196:Z200" si="126">V196 - (X196/Y196)</f>
        <v>418.74626890076513</v>
      </c>
      <c r="AA196" s="637">
        <f xml:space="preserve"> ($V$192 +  2*$W$192*(AA194) +  3*$X$192*(AA194^2) + 4*$Y$192*(AA194^3) + 5*$Z$192*(AA194^4) + 6*$AA$192*(AA194^5))</f>
        <v>0</v>
      </c>
      <c r="AB196" s="739" t="s">
        <v>462</v>
      </c>
      <c r="AC196" s="634">
        <f>IF(AC194="", "", AC194/SQRT(AC195))</f>
        <v>0.10101525681143569</v>
      </c>
      <c r="AD196" s="50">
        <v>660.9</v>
      </c>
      <c r="AE196" s="51">
        <v>79.656000000000006</v>
      </c>
      <c r="AF196" s="52">
        <f t="shared" si="72"/>
        <v>9.8781505879789996E-2</v>
      </c>
    </row>
    <row r="197" spans="1:94" ht="15" customHeight="1">
      <c r="A197" s="46"/>
      <c r="B197" s="42">
        <f t="shared" si="120"/>
        <v>411</v>
      </c>
      <c r="C197" s="569" t="str">
        <f>IF('Registro Original'!C197 = "", "", 'Registro Original'!C197)</f>
        <v/>
      </c>
      <c r="D197" s="574" t="str">
        <f t="shared" si="118"/>
        <v/>
      </c>
      <c r="E197" s="42">
        <f t="shared" si="121"/>
        <v>415</v>
      </c>
      <c r="F197" s="569" t="str">
        <f>IF('Registro Original'!F197 = "", "", 'Registro Original'!F197)</f>
        <v/>
      </c>
      <c r="G197" s="36" t="str">
        <f t="shared" si="119"/>
        <v/>
      </c>
      <c r="M197" s="31"/>
      <c r="U197" s="608">
        <v>4</v>
      </c>
      <c r="V197" s="610">
        <f t="shared" si="122"/>
        <v>418.74626890076513</v>
      </c>
      <c r="W197" s="604">
        <f t="shared" si="123"/>
        <v>0.135009765625</v>
      </c>
      <c r="X197" s="604">
        <f t="shared" si="124"/>
        <v>0</v>
      </c>
      <c r="Y197" s="617">
        <f t="shared" si="125"/>
        <v>-1.2766212224960327E-2</v>
      </c>
      <c r="Z197" s="605">
        <f t="shared" si="126"/>
        <v>418.74626890076513</v>
      </c>
      <c r="AA197" s="621"/>
      <c r="AD197" s="50">
        <v>660.8</v>
      </c>
      <c r="AE197" s="51">
        <v>79.715000000000003</v>
      </c>
      <c r="AF197" s="52">
        <f t="shared" ref="AF197:AF260" si="127">-LOG(AE197/100)</f>
        <v>9.8459949566497507E-2</v>
      </c>
    </row>
    <row r="198" spans="1:94" ht="15" customHeight="1">
      <c r="A198" s="46"/>
      <c r="B198" s="42">
        <f t="shared" si="120"/>
        <v>410</v>
      </c>
      <c r="C198" s="569" t="str">
        <f>IF('Registro Original'!C198 = "", "", 'Registro Original'!C198)</f>
        <v/>
      </c>
      <c r="D198" s="574" t="str">
        <f t="shared" si="118"/>
        <v/>
      </c>
      <c r="E198" s="42">
        <f t="shared" si="121"/>
        <v>414.5</v>
      </c>
      <c r="F198" s="569" t="str">
        <f>IF('Registro Original'!F198 = "", "", 'Registro Original'!F198)</f>
        <v/>
      </c>
      <c r="G198" s="36" t="str">
        <f t="shared" si="119"/>
        <v/>
      </c>
      <c r="M198" s="31"/>
      <c r="U198" s="608">
        <v>5</v>
      </c>
      <c r="V198" s="610">
        <f t="shared" si="122"/>
        <v>418.74626890076513</v>
      </c>
      <c r="W198" s="604">
        <f t="shared" si="123"/>
        <v>0.135009765625</v>
      </c>
      <c r="X198" s="604">
        <f t="shared" si="124"/>
        <v>0</v>
      </c>
      <c r="Y198" s="617">
        <f t="shared" si="125"/>
        <v>-1.2766212224960327E-2</v>
      </c>
      <c r="Z198" s="605">
        <f t="shared" si="126"/>
        <v>418.74626890076513</v>
      </c>
      <c r="AA198" s="621"/>
      <c r="AD198" s="50">
        <v>660.7</v>
      </c>
      <c r="AE198" s="51">
        <v>79.733000000000004</v>
      </c>
      <c r="AF198" s="52">
        <f t="shared" si="127"/>
        <v>9.8361895019466877E-2</v>
      </c>
    </row>
    <row r="199" spans="1:94" ht="15" customHeight="1">
      <c r="A199" s="46"/>
      <c r="B199" s="42">
        <f t="shared" si="120"/>
        <v>409</v>
      </c>
      <c r="C199" s="569" t="str">
        <f>IF('Registro Original'!C199 = "", "", 'Registro Original'!C199)</f>
        <v/>
      </c>
      <c r="D199" s="574" t="str">
        <f t="shared" si="118"/>
        <v/>
      </c>
      <c r="E199" s="42">
        <f t="shared" si="121"/>
        <v>414</v>
      </c>
      <c r="F199" s="569" t="str">
        <f>IF('Registro Original'!F199 = "", "", 'Registro Original'!F199)</f>
        <v/>
      </c>
      <c r="G199" s="36" t="str">
        <f t="shared" si="119"/>
        <v/>
      </c>
      <c r="M199" s="31"/>
      <c r="U199" s="608">
        <v>6</v>
      </c>
      <c r="V199" s="610">
        <f t="shared" si="122"/>
        <v>418.74626890076513</v>
      </c>
      <c r="W199" s="604">
        <f t="shared" si="123"/>
        <v>0.135009765625</v>
      </c>
      <c r="X199" s="604">
        <f t="shared" si="124"/>
        <v>0</v>
      </c>
      <c r="Y199" s="617">
        <f t="shared" si="125"/>
        <v>-1.2766212224960327E-2</v>
      </c>
      <c r="Z199" s="605">
        <f t="shared" si="126"/>
        <v>418.74626890076513</v>
      </c>
      <c r="AA199" s="621"/>
      <c r="AD199" s="50">
        <v>660.6</v>
      </c>
      <c r="AE199" s="51">
        <v>79.769000000000005</v>
      </c>
      <c r="AF199" s="52">
        <f t="shared" si="127"/>
        <v>9.8165852316378546E-2</v>
      </c>
    </row>
    <row r="200" spans="1:94" ht="15" customHeight="1">
      <c r="A200" s="46"/>
      <c r="B200" s="42">
        <f t="shared" si="120"/>
        <v>408</v>
      </c>
      <c r="C200" s="569" t="str">
        <f>IF('Registro Original'!C200 = "", "", 'Registro Original'!C200)</f>
        <v/>
      </c>
      <c r="D200" s="574" t="str">
        <f t="shared" si="118"/>
        <v/>
      </c>
      <c r="E200" s="42">
        <f t="shared" si="121"/>
        <v>413.5</v>
      </c>
      <c r="F200" s="569" t="str">
        <f>IF('Registro Original'!F200 = "", "", 'Registro Original'!F200)</f>
        <v/>
      </c>
      <c r="G200" s="36" t="str">
        <f t="shared" si="119"/>
        <v/>
      </c>
      <c r="M200" s="31"/>
      <c r="U200" s="611">
        <v>7</v>
      </c>
      <c r="V200" s="658">
        <f t="shared" si="122"/>
        <v>418.74626890076513</v>
      </c>
      <c r="W200" s="612">
        <f t="shared" si="123"/>
        <v>0.135009765625</v>
      </c>
      <c r="X200" s="612">
        <f t="shared" si="124"/>
        <v>0</v>
      </c>
      <c r="Y200" s="618">
        <f t="shared" si="125"/>
        <v>-1.2766212224960327E-2</v>
      </c>
      <c r="Z200" s="634">
        <f t="shared" si="126"/>
        <v>418.74626890076513</v>
      </c>
      <c r="AA200" s="622"/>
      <c r="AD200" s="50">
        <v>660.5</v>
      </c>
      <c r="AE200" s="51">
        <v>79.849999999999994</v>
      </c>
      <c r="AF200" s="52">
        <f t="shared" si="127"/>
        <v>9.7725079525498276E-2</v>
      </c>
    </row>
    <row r="201" spans="1:94" ht="15" customHeight="1" thickBot="1">
      <c r="A201" s="43"/>
      <c r="B201" s="47">
        <f t="shared" si="120"/>
        <v>407</v>
      </c>
      <c r="C201" s="570" t="str">
        <f>IF('Registro Original'!C201 = "", "", 'Registro Original'!C201)</f>
        <v/>
      </c>
      <c r="D201" s="575" t="str">
        <f t="shared" si="118"/>
        <v/>
      </c>
      <c r="E201" s="47">
        <f t="shared" si="121"/>
        <v>413</v>
      </c>
      <c r="F201" s="570" t="str">
        <f>IF('Registro Original'!F201 = "", "", 'Registro Original'!F201)</f>
        <v/>
      </c>
      <c r="G201" s="571" t="str">
        <f t="shared" si="119"/>
        <v/>
      </c>
      <c r="M201" s="31"/>
      <c r="AD201" s="50">
        <v>660.4</v>
      </c>
      <c r="AE201" s="51">
        <v>79.88</v>
      </c>
      <c r="AF201" s="52">
        <f t="shared" si="127"/>
        <v>9.7561943801335066E-2</v>
      </c>
    </row>
    <row r="202" spans="1:94" ht="15" customHeight="1" thickTop="1">
      <c r="A202" s="46"/>
      <c r="B202" s="44">
        <f t="shared" ref="B202:B212" si="128">IF(ISNUMBER($G$45),B203+$G$45,"")</f>
        <v>398</v>
      </c>
      <c r="C202" s="568" t="str">
        <f>IF('Registro Original'!C202 = "", "", 'Registro Original'!C202)</f>
        <v/>
      </c>
      <c r="D202" s="574" t="str">
        <f t="shared" ref="D202:D213" si="129">IF(C202&lt;&gt;"",IF(C202 = LARGE($C$202:$C$226,1), C202, ""), "")</f>
        <v/>
      </c>
      <c r="E202" s="44">
        <f t="shared" ref="E202:E212" si="130">IF(ISNUMBER($G$45),E203+$G$45,"")</f>
        <v>397.5</v>
      </c>
      <c r="F202" s="568" t="str">
        <f>IF('Registro Original'!F202 = "", "", 'Registro Original'!F202)</f>
        <v/>
      </c>
      <c r="G202" s="36" t="str">
        <f t="shared" ref="G202:G213" si="131">IF(F202 &lt;&gt;"", IF(F202 = LARGE($E$202:$E$226,1), F202, ""), "")</f>
        <v/>
      </c>
      <c r="M202" s="31"/>
      <c r="U202" s="103" t="s">
        <v>88</v>
      </c>
      <c r="V202" s="104" t="s">
        <v>89</v>
      </c>
      <c r="W202" s="105" t="s">
        <v>90</v>
      </c>
      <c r="X202" s="104" t="s">
        <v>91</v>
      </c>
      <c r="Y202" s="106" t="s">
        <v>96</v>
      </c>
      <c r="Z202" s="626" t="s">
        <v>378</v>
      </c>
      <c r="AA202" s="627" t="s">
        <v>379</v>
      </c>
      <c r="AB202" s="627" t="s">
        <v>380</v>
      </c>
      <c r="AC202" s="632" t="s">
        <v>381</v>
      </c>
      <c r="AD202" s="50">
        <v>660.3</v>
      </c>
      <c r="AE202" s="51">
        <v>79.989999999999995</v>
      </c>
      <c r="AF202" s="52">
        <f t="shared" si="127"/>
        <v>9.6964303211502761E-2</v>
      </c>
    </row>
    <row r="203" spans="1:94" ht="15" customHeight="1" thickBot="1">
      <c r="A203" s="46"/>
      <c r="B203" s="42">
        <f t="shared" si="128"/>
        <v>397</v>
      </c>
      <c r="C203" s="569" t="str">
        <f>IF('Registro Original'!C203 = "", "", 'Registro Original'!C203)</f>
        <v/>
      </c>
      <c r="D203" s="574" t="str">
        <f t="shared" si="129"/>
        <v/>
      </c>
      <c r="E203" s="42">
        <f t="shared" si="130"/>
        <v>396.5</v>
      </c>
      <c r="F203" s="569" t="str">
        <f>IF('Registro Original'!F203 = "", "", 'Registro Original'!F203)</f>
        <v/>
      </c>
      <c r="G203" s="36" t="str">
        <f t="shared" si="131"/>
        <v/>
      </c>
      <c r="M203" s="31"/>
      <c r="U203" s="647">
        <v>383.6</v>
      </c>
      <c r="V203" s="648">
        <v>7.3700000000000002E-2</v>
      </c>
      <c r="W203" s="645">
        <v>385.8</v>
      </c>
      <c r="X203" s="648">
        <v>0.10879999999999999</v>
      </c>
      <c r="Y203" s="649">
        <v>9.1249999999999998E-2</v>
      </c>
      <c r="Z203" s="630">
        <f>AC203 - AB203</f>
        <v>2.3999999999999773</v>
      </c>
      <c r="AA203" s="628">
        <f>X203 - Y203</f>
        <v>1.7549999999999996E-2</v>
      </c>
      <c r="AB203" s="629">
        <v>384.8</v>
      </c>
      <c r="AC203" s="631">
        <v>387.2</v>
      </c>
      <c r="AD203" s="50">
        <v>660.2</v>
      </c>
      <c r="AE203" s="51">
        <v>80.063999999999993</v>
      </c>
      <c r="AF203" s="52">
        <f t="shared" si="127"/>
        <v>9.6562716322692921E-2</v>
      </c>
    </row>
    <row r="204" spans="1:94" ht="15" customHeight="1" thickBot="1">
      <c r="A204" s="46"/>
      <c r="B204" s="42">
        <f t="shared" si="128"/>
        <v>396</v>
      </c>
      <c r="C204" s="569" t="str">
        <f>IF('Registro Original'!C204 = "", "", 'Registro Original'!C204)</f>
        <v/>
      </c>
      <c r="D204" s="574" t="str">
        <f t="shared" si="129"/>
        <v/>
      </c>
      <c r="E204" s="42">
        <f t="shared" si="130"/>
        <v>395.5</v>
      </c>
      <c r="F204" s="569" t="str">
        <f>IF('Registro Original'!F204 = "", "", 'Registro Original'!F204)</f>
        <v/>
      </c>
      <c r="G204" s="36" t="str">
        <f t="shared" si="131"/>
        <v/>
      </c>
      <c r="M204" s="31"/>
      <c r="AD204" s="50">
        <v>660.1</v>
      </c>
      <c r="AE204" s="51">
        <v>80.167000000000002</v>
      </c>
      <c r="AF204" s="52">
        <f t="shared" si="127"/>
        <v>9.6004368215304572E-2</v>
      </c>
      <c r="AG204" s="746" t="s">
        <v>95</v>
      </c>
      <c r="AH204" s="587">
        <v>380</v>
      </c>
      <c r="AI204" s="50">
        <f t="shared" ref="AI204:CP204" si="132">AH204+0.2</f>
        <v>380.2</v>
      </c>
      <c r="AJ204" s="50">
        <f t="shared" si="132"/>
        <v>380.4</v>
      </c>
      <c r="AK204" s="50">
        <f t="shared" si="132"/>
        <v>380.59999999999997</v>
      </c>
      <c r="AL204" s="50">
        <f t="shared" si="132"/>
        <v>380.79999999999995</v>
      </c>
      <c r="AM204" s="50">
        <f t="shared" si="132"/>
        <v>380.99999999999994</v>
      </c>
      <c r="AN204" s="50">
        <f t="shared" si="132"/>
        <v>381.19999999999993</v>
      </c>
      <c r="AO204" s="50">
        <f t="shared" si="132"/>
        <v>381.39999999999992</v>
      </c>
      <c r="AP204" s="50">
        <f t="shared" si="132"/>
        <v>381.59999999999991</v>
      </c>
      <c r="AQ204" s="50">
        <f t="shared" si="132"/>
        <v>381.7999999999999</v>
      </c>
      <c r="AR204" s="50">
        <f t="shared" si="132"/>
        <v>381.99999999999989</v>
      </c>
      <c r="AS204" s="50">
        <f t="shared" si="132"/>
        <v>382.19999999999987</v>
      </c>
      <c r="AT204" s="50">
        <f t="shared" si="132"/>
        <v>382.39999999999986</v>
      </c>
      <c r="AU204" s="50">
        <f t="shared" si="132"/>
        <v>382.59999999999985</v>
      </c>
      <c r="AV204" s="50">
        <f t="shared" si="132"/>
        <v>382.79999999999984</v>
      </c>
      <c r="AW204" s="50">
        <f t="shared" si="132"/>
        <v>382.99999999999983</v>
      </c>
      <c r="AX204" s="50">
        <f t="shared" si="132"/>
        <v>383.19999999999982</v>
      </c>
      <c r="AY204" s="50">
        <f t="shared" si="132"/>
        <v>383.39999999999981</v>
      </c>
      <c r="AZ204" s="50">
        <f t="shared" si="132"/>
        <v>383.5999999999998</v>
      </c>
      <c r="BA204" s="50">
        <f t="shared" si="132"/>
        <v>383.79999999999978</v>
      </c>
      <c r="BB204" s="50">
        <f t="shared" si="132"/>
        <v>383.99999999999977</v>
      </c>
      <c r="BC204" s="50">
        <f t="shared" si="132"/>
        <v>384.19999999999976</v>
      </c>
      <c r="BD204" s="50">
        <f t="shared" si="132"/>
        <v>384.39999999999975</v>
      </c>
      <c r="BE204" s="50">
        <f t="shared" si="132"/>
        <v>384.59999999999974</v>
      </c>
      <c r="BF204" s="50">
        <f t="shared" si="132"/>
        <v>384.79999999999973</v>
      </c>
      <c r="BG204" s="50">
        <f t="shared" si="132"/>
        <v>384.99999999999972</v>
      </c>
      <c r="BH204" s="50">
        <f t="shared" si="132"/>
        <v>385.1999999999997</v>
      </c>
      <c r="BI204" s="50">
        <f t="shared" si="132"/>
        <v>385.39999999999969</v>
      </c>
      <c r="BJ204" s="50">
        <f t="shared" si="132"/>
        <v>385.59999999999968</v>
      </c>
      <c r="BK204" s="50">
        <f t="shared" si="132"/>
        <v>385.79999999999967</v>
      </c>
      <c r="BL204" s="50">
        <f t="shared" si="132"/>
        <v>385.99999999999966</v>
      </c>
      <c r="BM204" s="50">
        <f t="shared" si="132"/>
        <v>386.19999999999965</v>
      </c>
      <c r="BN204" s="50">
        <f t="shared" si="132"/>
        <v>386.39999999999964</v>
      </c>
      <c r="BO204" s="50">
        <f t="shared" si="132"/>
        <v>386.59999999999962</v>
      </c>
      <c r="BP204" s="50">
        <f t="shared" si="132"/>
        <v>386.79999999999961</v>
      </c>
      <c r="BQ204" s="50">
        <f t="shared" si="132"/>
        <v>386.9999999999996</v>
      </c>
      <c r="BR204" s="50">
        <f t="shared" si="132"/>
        <v>387.19999999999959</v>
      </c>
      <c r="BS204" s="50">
        <f t="shared" si="132"/>
        <v>387.39999999999958</v>
      </c>
      <c r="BT204" s="50">
        <f t="shared" si="132"/>
        <v>387.59999999999957</v>
      </c>
      <c r="BU204" s="50">
        <f t="shared" si="132"/>
        <v>387.79999999999956</v>
      </c>
      <c r="BV204" s="50">
        <f t="shared" si="132"/>
        <v>387.99999999999955</v>
      </c>
      <c r="BW204" s="50">
        <f t="shared" si="132"/>
        <v>388.19999999999953</v>
      </c>
      <c r="BX204" s="50">
        <f t="shared" si="132"/>
        <v>388.39999999999952</v>
      </c>
      <c r="BY204" s="50">
        <f t="shared" si="132"/>
        <v>388.59999999999951</v>
      </c>
      <c r="BZ204" s="50">
        <f t="shared" si="132"/>
        <v>388.7999999999995</v>
      </c>
      <c r="CA204" s="50">
        <f t="shared" si="132"/>
        <v>388.99999999999949</v>
      </c>
      <c r="CB204" s="50">
        <f t="shared" si="132"/>
        <v>389.19999999999948</v>
      </c>
      <c r="CC204" s="50">
        <f t="shared" si="132"/>
        <v>389.39999999999947</v>
      </c>
      <c r="CD204" s="50">
        <f t="shared" si="132"/>
        <v>389.59999999999945</v>
      </c>
      <c r="CE204" s="50">
        <f t="shared" si="132"/>
        <v>389.79999999999944</v>
      </c>
      <c r="CF204" s="50">
        <f t="shared" si="132"/>
        <v>389.99999999999943</v>
      </c>
      <c r="CG204" s="50">
        <f t="shared" si="132"/>
        <v>390.19999999999942</v>
      </c>
      <c r="CH204" s="50">
        <f t="shared" si="132"/>
        <v>390.39999999999941</v>
      </c>
      <c r="CI204" s="50">
        <f t="shared" si="132"/>
        <v>390.5999999999994</v>
      </c>
      <c r="CJ204" s="50">
        <f t="shared" si="132"/>
        <v>390.79999999999939</v>
      </c>
      <c r="CK204" s="50">
        <f t="shared" si="132"/>
        <v>390.99999999999937</v>
      </c>
      <c r="CL204" s="50">
        <f t="shared" si="132"/>
        <v>391.19999999999936</v>
      </c>
      <c r="CM204" s="50">
        <f t="shared" si="132"/>
        <v>391.39999999999935</v>
      </c>
      <c r="CN204" s="50">
        <f t="shared" si="132"/>
        <v>391.59999999999934</v>
      </c>
      <c r="CO204" s="50">
        <f t="shared" si="132"/>
        <v>391.79999999999933</v>
      </c>
      <c r="CP204" s="50">
        <f t="shared" si="132"/>
        <v>391.99999999999932</v>
      </c>
    </row>
    <row r="205" spans="1:94" ht="15" customHeight="1" thickBot="1">
      <c r="A205" s="46"/>
      <c r="B205" s="42">
        <f t="shared" si="128"/>
        <v>395</v>
      </c>
      <c r="C205" s="569" t="str">
        <f>IF('Registro Original'!C205 = "", "", 'Registro Original'!C205)</f>
        <v/>
      </c>
      <c r="D205" s="574" t="str">
        <f t="shared" si="129"/>
        <v/>
      </c>
      <c r="E205" s="42">
        <f t="shared" si="130"/>
        <v>394.5</v>
      </c>
      <c r="F205" s="569" t="str">
        <f>IF('Registro Original'!F205 = "", "", 'Registro Original'!F205)</f>
        <v/>
      </c>
      <c r="G205" s="36" t="str">
        <f t="shared" si="131"/>
        <v/>
      </c>
      <c r="M205" s="31"/>
      <c r="U205" s="822" t="s">
        <v>374</v>
      </c>
      <c r="V205" s="823"/>
      <c r="W205" s="823"/>
      <c r="X205" s="823"/>
      <c r="Y205" s="823"/>
      <c r="Z205" s="823"/>
      <c r="AA205" s="824"/>
      <c r="AC205" s="681" t="s">
        <v>420</v>
      </c>
      <c r="AD205" s="50">
        <v>660</v>
      </c>
      <c r="AE205" s="51">
        <v>80.210999999999999</v>
      </c>
      <c r="AF205" s="52">
        <f t="shared" si="127"/>
        <v>9.5766069225627928E-2</v>
      </c>
      <c r="AG205" s="746"/>
      <c r="AH205">
        <v>9.1200000000000003E-2</v>
      </c>
      <c r="AI205">
        <v>9.1200000000000003E-2</v>
      </c>
      <c r="AJ205">
        <v>9.1200000000000003E-2</v>
      </c>
      <c r="AK205">
        <v>9.1200000000000003E-2</v>
      </c>
      <c r="AL205">
        <v>9.1200000000000003E-2</v>
      </c>
      <c r="AM205">
        <v>9.1200000000000003E-2</v>
      </c>
      <c r="AN205">
        <v>9.1200000000000003E-2</v>
      </c>
      <c r="AO205">
        <v>9.1200000000000003E-2</v>
      </c>
      <c r="AP205">
        <v>9.1200000000000003E-2</v>
      </c>
      <c r="AQ205">
        <v>9.1200000000000003E-2</v>
      </c>
      <c r="AR205">
        <v>9.1200000000000003E-2</v>
      </c>
      <c r="AS205">
        <v>9.1200000000000003E-2</v>
      </c>
      <c r="AT205">
        <v>9.1200000000000003E-2</v>
      </c>
      <c r="AU205">
        <v>9.1200000000000003E-2</v>
      </c>
      <c r="AV205">
        <v>9.1200000000000003E-2</v>
      </c>
      <c r="AW205">
        <v>9.1200000000000003E-2</v>
      </c>
      <c r="AX205">
        <v>9.1200000000000003E-2</v>
      </c>
      <c r="AY205">
        <v>9.1200000000000003E-2</v>
      </c>
      <c r="AZ205">
        <v>9.1200000000000003E-2</v>
      </c>
      <c r="BA205">
        <v>9.1200000000000003E-2</v>
      </c>
      <c r="BB205">
        <v>9.1200000000000003E-2</v>
      </c>
      <c r="BC205">
        <v>9.1200000000000003E-2</v>
      </c>
      <c r="BD205">
        <v>9.1200000000000003E-2</v>
      </c>
      <c r="BE205">
        <v>9.1200000000000003E-2</v>
      </c>
      <c r="BF205">
        <v>9.1200000000000003E-2</v>
      </c>
      <c r="BG205">
        <v>9.1200000000000003E-2</v>
      </c>
      <c r="BH205">
        <v>9.1200000000000003E-2</v>
      </c>
      <c r="BI205">
        <v>9.1200000000000003E-2</v>
      </c>
      <c r="BJ205">
        <v>9.1200000000000003E-2</v>
      </c>
      <c r="BK205">
        <v>9.1200000000000003E-2</v>
      </c>
      <c r="BL205">
        <v>9.1200000000000003E-2</v>
      </c>
      <c r="BM205">
        <v>9.1200000000000003E-2</v>
      </c>
      <c r="BN205">
        <v>9.1200000000000003E-2</v>
      </c>
      <c r="BO205">
        <v>9.1200000000000003E-2</v>
      </c>
      <c r="BP205">
        <v>9.1200000000000003E-2</v>
      </c>
      <c r="BQ205">
        <v>9.1200000000000003E-2</v>
      </c>
      <c r="BR205">
        <v>9.1200000000000003E-2</v>
      </c>
      <c r="BS205">
        <v>9.1200000000000003E-2</v>
      </c>
      <c r="BT205">
        <v>9.1200000000000003E-2</v>
      </c>
      <c r="BU205">
        <v>9.1200000000000003E-2</v>
      </c>
      <c r="BV205">
        <v>9.1200000000000003E-2</v>
      </c>
      <c r="BW205">
        <v>9.1200000000000003E-2</v>
      </c>
      <c r="BX205">
        <v>9.1200000000000003E-2</v>
      </c>
      <c r="BY205">
        <v>9.1200000000000003E-2</v>
      </c>
      <c r="BZ205">
        <v>9.1200000000000003E-2</v>
      </c>
      <c r="CA205">
        <v>9.1200000000000003E-2</v>
      </c>
      <c r="CB205">
        <v>9.1200000000000003E-2</v>
      </c>
      <c r="CC205">
        <v>9.1200000000000003E-2</v>
      </c>
      <c r="CD205">
        <v>9.1200000000000003E-2</v>
      </c>
      <c r="CE205">
        <v>9.1200000000000003E-2</v>
      </c>
      <c r="CF205">
        <v>9.1200000000000003E-2</v>
      </c>
      <c r="CG205">
        <v>9.1200000000000003E-2</v>
      </c>
      <c r="CH205">
        <v>9.1200000000000003E-2</v>
      </c>
      <c r="CI205">
        <v>9.1200000000000003E-2</v>
      </c>
      <c r="CJ205">
        <v>9.1200000000000003E-2</v>
      </c>
      <c r="CK205">
        <v>9.1200000000000003E-2</v>
      </c>
      <c r="CL205">
        <v>9.1200000000000003E-2</v>
      </c>
      <c r="CM205">
        <v>9.1200000000000003E-2</v>
      </c>
      <c r="CN205">
        <v>9.1200000000000003E-2</v>
      </c>
      <c r="CO205">
        <v>9.1200000000000003E-2</v>
      </c>
      <c r="CP205">
        <v>9.1200000000000003E-2</v>
      </c>
    </row>
    <row r="206" spans="1:94" ht="15" customHeight="1">
      <c r="A206" s="46"/>
      <c r="B206" s="42">
        <f t="shared" si="128"/>
        <v>394</v>
      </c>
      <c r="C206" s="569" t="str">
        <f>IF('Registro Original'!C206 = "", "", 'Registro Original'!C206)</f>
        <v/>
      </c>
      <c r="D206" s="574" t="str">
        <f t="shared" si="129"/>
        <v/>
      </c>
      <c r="E206" s="42">
        <f t="shared" si="130"/>
        <v>393.5</v>
      </c>
      <c r="F206" s="569" t="str">
        <f>IF('Registro Original'!F206 = "", "", 'Registro Original'!F206)</f>
        <v/>
      </c>
      <c r="G206" s="36" t="str">
        <f t="shared" si="131"/>
        <v/>
      </c>
      <c r="M206" s="31"/>
      <c r="U206" s="602" t="s">
        <v>359</v>
      </c>
      <c r="V206" s="88" t="s">
        <v>360</v>
      </c>
      <c r="W206" s="88" t="s">
        <v>361</v>
      </c>
      <c r="X206" s="88" t="s">
        <v>362</v>
      </c>
      <c r="Y206" s="88" t="s">
        <v>363</v>
      </c>
      <c r="Z206" s="88" t="s">
        <v>364</v>
      </c>
      <c r="AA206" s="603" t="s">
        <v>365</v>
      </c>
      <c r="AB206" s="735" t="s">
        <v>458</v>
      </c>
      <c r="AC206" s="736">
        <f>IF(U207="","",IF(AA207&lt;&gt;0, 6,5))</f>
        <v>5</v>
      </c>
      <c r="AD206" s="50">
        <v>659.9</v>
      </c>
      <c r="AE206" s="51">
        <v>80.233000000000004</v>
      </c>
      <c r="AF206" s="52">
        <f t="shared" si="127"/>
        <v>9.5646968746186486E-2</v>
      </c>
    </row>
    <row r="207" spans="1:94" ht="15" customHeight="1">
      <c r="A207" s="46"/>
      <c r="B207" s="42">
        <f t="shared" si="128"/>
        <v>393</v>
      </c>
      <c r="C207" s="569" t="str">
        <f>IF('Registro Original'!C207 = "", "", 'Registro Original'!C207)</f>
        <v/>
      </c>
      <c r="D207" s="574" t="str">
        <f t="shared" si="129"/>
        <v/>
      </c>
      <c r="E207" s="42">
        <f t="shared" si="130"/>
        <v>392.5</v>
      </c>
      <c r="F207" s="569" t="str">
        <f>IF('Registro Original'!F207 = "", "", 'Registro Original'!F207)</f>
        <v/>
      </c>
      <c r="G207" s="36" t="str">
        <f t="shared" si="131"/>
        <v/>
      </c>
      <c r="M207" s="31"/>
      <c r="U207" s="633">
        <v>-142804535.40609801</v>
      </c>
      <c r="V207" s="612">
        <v>1849873.02552919</v>
      </c>
      <c r="W207" s="612">
        <v>-9585.1208331396792</v>
      </c>
      <c r="X207" s="612">
        <v>24.8324166661661</v>
      </c>
      <c r="Y207" s="612">
        <v>-3.2166666666019403E-2</v>
      </c>
      <c r="Z207" s="612">
        <v>1.6666666666331801E-5</v>
      </c>
      <c r="AA207" s="634">
        <v>0</v>
      </c>
      <c r="AB207" s="737" t="s">
        <v>459</v>
      </c>
      <c r="AC207" s="732">
        <f>IF(AC206="", "",AC206 +1)</f>
        <v>6</v>
      </c>
      <c r="AD207" s="50">
        <v>659.8</v>
      </c>
      <c r="AE207" s="51">
        <v>80.290999999999997</v>
      </c>
      <c r="AF207" s="52">
        <f t="shared" si="127"/>
        <v>9.5333133045026122E-2</v>
      </c>
    </row>
    <row r="208" spans="1:94" ht="15" customHeight="1">
      <c r="A208" s="590" t="s">
        <v>352</v>
      </c>
      <c r="B208" s="42">
        <f t="shared" si="128"/>
        <v>392</v>
      </c>
      <c r="C208" s="569">
        <f>IF('Registro Original'!C208 = "", "", 'Registro Original'!C208)</f>
        <v>5.7000000000000002E-2</v>
      </c>
      <c r="D208" s="574" t="str">
        <f t="shared" si="129"/>
        <v/>
      </c>
      <c r="E208" s="42">
        <f t="shared" si="130"/>
        <v>391.5</v>
      </c>
      <c r="F208" s="569">
        <f>IF('Registro Original'!F208 = "", "", 'Registro Original'!F208)</f>
        <v>5.7000000000000002E-2</v>
      </c>
      <c r="G208" s="36" t="str">
        <f t="shared" si="131"/>
        <v/>
      </c>
      <c r="M208" s="31"/>
      <c r="U208" s="606" t="s">
        <v>373</v>
      </c>
      <c r="V208" s="607" t="s">
        <v>369</v>
      </c>
      <c r="W208" s="601" t="s">
        <v>375</v>
      </c>
      <c r="X208" s="601" t="s">
        <v>367</v>
      </c>
      <c r="Y208" s="601" t="s">
        <v>368</v>
      </c>
      <c r="Z208" s="635" t="s">
        <v>370</v>
      </c>
      <c r="AA208" s="636" t="s">
        <v>369</v>
      </c>
      <c r="AB208" s="737" t="s">
        <v>460</v>
      </c>
      <c r="AC208" s="605">
        <f xml:space="preserve"> 0.999999950674501</f>
        <v>0.99999995067450098</v>
      </c>
      <c r="AD208" s="50">
        <v>659.7</v>
      </c>
      <c r="AE208" s="51">
        <v>80.370999999999995</v>
      </c>
      <c r="AF208" s="52">
        <f t="shared" si="127"/>
        <v>9.49006280167837E-2</v>
      </c>
    </row>
    <row r="209" spans="1:32" ht="15" customHeight="1">
      <c r="B209" s="42">
        <f t="shared" si="128"/>
        <v>391</v>
      </c>
      <c r="C209" s="569">
        <f>IF('Registro Original'!C209 = "", "", 'Registro Original'!C209)</f>
        <v>5.8999999999999997E-2</v>
      </c>
      <c r="D209" s="574" t="str">
        <f t="shared" si="129"/>
        <v/>
      </c>
      <c r="E209" s="42">
        <f t="shared" si="130"/>
        <v>390.5</v>
      </c>
      <c r="F209" s="569">
        <f>IF('Registro Original'!F209 = "", "", 'Registro Original'!F209)</f>
        <v>0.06</v>
      </c>
      <c r="G209" s="36" t="str">
        <f t="shared" si="131"/>
        <v/>
      </c>
      <c r="M209" s="31"/>
      <c r="U209" s="608">
        <v>1</v>
      </c>
      <c r="V209" s="624">
        <v>385.6</v>
      </c>
      <c r="W209" s="604">
        <f xml:space="preserve"> $U$207 + $V$207*(V209) + $W$207*(V209^2) + $X$207*(V209^3) + $Y$207*(V209^4) + $Z$207*(V209^5) + $AA$207*(V209^6)</f>
        <v>8.0163151025772095E-2</v>
      </c>
      <c r="X209" s="604">
        <f xml:space="preserve"> ($V$207 +  2*$W$207*(V209) +  3*$X$207*(V209^2) + 4*$Y$207*(V209^3) + 5*$Z$207*(V209^4) + 6*$AA$207*(V209^5))</f>
        <v>-8.4522180259227753E-5</v>
      </c>
      <c r="Y209" s="617">
        <f xml:space="preserve"> (2*$W$207 + 6*$X$207*(V209) + 12*$Y$207*(V209^2) + 20*$Z$207*(V209^3) + 30*$AA$207*(V209^4))</f>
        <v>-1.4213332360668574E-3</v>
      </c>
      <c r="Z209" s="605">
        <f>V209 - (X209/Y209)</f>
        <v>385.5405331711703</v>
      </c>
      <c r="AA209" s="638">
        <v>385.53878847413358</v>
      </c>
      <c r="AB209" s="738" t="s">
        <v>461</v>
      </c>
      <c r="AC209" s="605">
        <f>IF(AC208="",  "", SQRT(AC208)/(AC207))</f>
        <v>0.16666666255620835</v>
      </c>
      <c r="AD209" s="50">
        <v>659.6</v>
      </c>
      <c r="AE209" s="51">
        <v>80.409000000000006</v>
      </c>
      <c r="AF209" s="52">
        <f t="shared" si="127"/>
        <v>9.4695338918393088E-2</v>
      </c>
    </row>
    <row r="210" spans="1:32" ht="15" customHeight="1">
      <c r="A210" s="46"/>
      <c r="B210" s="42">
        <f t="shared" si="128"/>
        <v>390</v>
      </c>
      <c r="C210" s="569">
        <f>IF('Registro Original'!C210 = "", "", 'Registro Original'!C210)</f>
        <v>6.2E-2</v>
      </c>
      <c r="D210" s="574" t="str">
        <f t="shared" si="129"/>
        <v/>
      </c>
      <c r="E210" s="42">
        <f t="shared" si="130"/>
        <v>389.5</v>
      </c>
      <c r="F210" s="569">
        <f>IF('Registro Original'!F210 = "", "", 'Registro Original'!F210)</f>
        <v>6.3E-2</v>
      </c>
      <c r="G210" s="36" t="str">
        <f t="shared" si="131"/>
        <v/>
      </c>
      <c r="M210" s="31"/>
      <c r="U210" s="608">
        <v>2</v>
      </c>
      <c r="V210" s="610">
        <f>Z209</f>
        <v>385.5405331711703</v>
      </c>
      <c r="W210" s="604">
        <f t="shared" ref="W210:W215" si="133" xml:space="preserve"> $U$207 + $V$207*(V210) + $W$207*(V210^2) + $X$207*(V210^3) + $Y$207*(V210^4) + $Z$207*(V210^5) + $AA$207*(V210^6)</f>
        <v>8.0165386199951172E-2</v>
      </c>
      <c r="X210" s="604">
        <f t="shared" ref="X210:X215" si="134" xml:space="preserve"> ($V$207 +  2*$W$207*(V210) +  3*$X$207*(V210^2) + 4*$Y$207*(V210^3) + 5*$Z$207*(V210^4) + 6*$AA$207*(V210^5))</f>
        <v>-2.3387838155031204E-6</v>
      </c>
      <c r="Y210" s="617">
        <f t="shared" ref="Y210:Y215" si="135" xml:space="preserve"> (2*$W$207 + 6*$X$207*(V210) + 12*$Y$207*(V210^2) + 20*$Z$207*(V210^3) + 30*$AA$207*(V210^4))</f>
        <v>-1.3431323059194256E-3</v>
      </c>
      <c r="Z210" s="605">
        <f t="shared" ref="Z210:Z215" si="136">V210 - (X210/Y210)</f>
        <v>385.53879188045369</v>
      </c>
      <c r="AA210" s="620" t="s">
        <v>371</v>
      </c>
      <c r="AB210" s="738" t="s">
        <v>463</v>
      </c>
      <c r="AC210" s="732">
        <f>COUNT(U207,U217)</f>
        <v>2</v>
      </c>
      <c r="AD210" s="50">
        <v>659.5</v>
      </c>
      <c r="AE210" s="51">
        <v>80.417000000000002</v>
      </c>
      <c r="AF210" s="52">
        <f t="shared" si="127"/>
        <v>9.4652132523182234E-2</v>
      </c>
    </row>
    <row r="211" spans="1:32" ht="15" customHeight="1">
      <c r="A211" s="46"/>
      <c r="B211" s="42">
        <f t="shared" si="128"/>
        <v>389</v>
      </c>
      <c r="C211" s="569">
        <f>IF('Registro Original'!C211 = "", "", 'Registro Original'!C211)</f>
        <v>6.8000000000000005E-2</v>
      </c>
      <c r="D211" s="574" t="str">
        <f t="shared" si="129"/>
        <v/>
      </c>
      <c r="E211" s="42">
        <f t="shared" si="130"/>
        <v>388.5</v>
      </c>
      <c r="F211" s="569">
        <f>IF('Registro Original'!F211 = "", "", 'Registro Original'!F211)</f>
        <v>6.9000000000000006E-2</v>
      </c>
      <c r="G211" s="36" t="str">
        <f t="shared" si="131"/>
        <v/>
      </c>
      <c r="M211" s="31"/>
      <c r="U211" s="608">
        <v>3</v>
      </c>
      <c r="V211" s="610">
        <f t="shared" ref="V211:V215" si="137">Z210</f>
        <v>385.53879188045369</v>
      </c>
      <c r="W211" s="604">
        <f t="shared" si="133"/>
        <v>8.0165475606918335E-2</v>
      </c>
      <c r="X211" s="604">
        <f t="shared" si="134"/>
        <v>-3.9581209421157837E-9</v>
      </c>
      <c r="Y211" s="617">
        <f t="shared" si="135"/>
        <v>-1.3408893646555953E-3</v>
      </c>
      <c r="Z211" s="605">
        <f t="shared" si="136"/>
        <v>385.53878892859126</v>
      </c>
      <c r="AA211" s="637">
        <f xml:space="preserve"> ($V$207 +  2*$W$207*(AA209) +  3*$X$207*(AA209^2) + 4*$Y$207*(AA209^3) + 5*$Z$207*(AA209^4) + 6*$AA$207*(AA209^5))</f>
        <v>4.6566128730773926E-10</v>
      </c>
      <c r="AB211" s="739" t="s">
        <v>462</v>
      </c>
      <c r="AC211" s="634">
        <f>IF(AC209="", "", AC209/SQRT(AC210))</f>
        <v>0.11785112729122496</v>
      </c>
      <c r="AD211" s="50">
        <v>659.4</v>
      </c>
      <c r="AE211" s="51">
        <v>80.456999999999994</v>
      </c>
      <c r="AF211" s="52">
        <f t="shared" si="127"/>
        <v>9.4436165000349279E-2</v>
      </c>
    </row>
    <row r="212" spans="1:32" ht="15" customHeight="1">
      <c r="A212" s="46"/>
      <c r="B212" s="42">
        <f t="shared" si="128"/>
        <v>388</v>
      </c>
      <c r="C212" s="569">
        <f>IF('Registro Original'!C212 = "", "", 'Registro Original'!C212)</f>
        <v>7.2999999999999995E-2</v>
      </c>
      <c r="D212" s="574" t="str">
        <f t="shared" si="129"/>
        <v/>
      </c>
      <c r="E212" s="42">
        <f t="shared" si="130"/>
        <v>387.5</v>
      </c>
      <c r="F212" s="569">
        <f>IF('Registro Original'!F212 = "", "", 'Registro Original'!F212)</f>
        <v>7.4999999999999997E-2</v>
      </c>
      <c r="G212" s="36" t="str">
        <f t="shared" si="131"/>
        <v/>
      </c>
      <c r="U212" s="608">
        <v>4</v>
      </c>
      <c r="V212" s="610">
        <f t="shared" si="137"/>
        <v>385.53878892859126</v>
      </c>
      <c r="W212" s="604">
        <f t="shared" si="133"/>
        <v>8.0165714025497437E-2</v>
      </c>
      <c r="X212" s="604">
        <f t="shared" si="134"/>
        <v>0</v>
      </c>
      <c r="Y212" s="617">
        <f t="shared" si="135"/>
        <v>-1.3408855593297631E-3</v>
      </c>
      <c r="Z212" s="605">
        <f t="shared" si="136"/>
        <v>385.53878892859126</v>
      </c>
      <c r="AA212" s="621"/>
      <c r="AD212" s="50">
        <v>659.3</v>
      </c>
      <c r="AE212" s="51">
        <v>80.471999999999994</v>
      </c>
      <c r="AF212" s="52">
        <f t="shared" si="127"/>
        <v>9.4355204859573938E-2</v>
      </c>
    </row>
    <row r="213" spans="1:32" ht="15" customHeight="1">
      <c r="A213" s="59" t="s">
        <v>343</v>
      </c>
      <c r="B213" s="42">
        <f>IF(ISNUMBER($G$45),B214+$G$45,"")</f>
        <v>387</v>
      </c>
      <c r="C213" s="569">
        <f>IF('Registro Original'!C213 = "", "", 'Registro Original'!C213)</f>
        <v>7.8E-2</v>
      </c>
      <c r="D213" s="574" t="str">
        <f t="shared" si="129"/>
        <v/>
      </c>
      <c r="E213" s="42">
        <f>IF(ISNUMBER($G$45),E214+$K$45,"")</f>
        <v>386.5</v>
      </c>
      <c r="F213" s="569">
        <f>IF('Registro Original'!F213 = "", "", 'Registro Original'!F213)</f>
        <v>7.9000000000000001E-2</v>
      </c>
      <c r="G213" s="36" t="str">
        <f t="shared" si="131"/>
        <v/>
      </c>
      <c r="U213" s="608">
        <v>5</v>
      </c>
      <c r="V213" s="610">
        <f t="shared" si="137"/>
        <v>385.53878892859126</v>
      </c>
      <c r="W213" s="604">
        <f t="shared" si="133"/>
        <v>8.0165714025497437E-2</v>
      </c>
      <c r="X213" s="604">
        <f t="shared" si="134"/>
        <v>0</v>
      </c>
      <c r="Y213" s="617">
        <f t="shared" si="135"/>
        <v>-1.3408855593297631E-3</v>
      </c>
      <c r="Z213" s="605">
        <f t="shared" si="136"/>
        <v>385.53878892859126</v>
      </c>
      <c r="AA213" s="621"/>
      <c r="AD213" s="50">
        <v>659.2</v>
      </c>
      <c r="AE213" s="51">
        <v>80.548000000000002</v>
      </c>
      <c r="AF213" s="52">
        <f t="shared" si="127"/>
        <v>9.3945238605994852E-2</v>
      </c>
    </row>
    <row r="214" spans="1:32" ht="15" customHeight="1">
      <c r="A214" s="45">
        <v>385.8</v>
      </c>
      <c r="B214" s="122">
        <f>ROUNDUP($A$214,0)</f>
        <v>386</v>
      </c>
      <c r="C214" s="569">
        <f>IF('Registro Original'!C214 = "", "", 'Registro Original'!C214)</f>
        <v>0.08</v>
      </c>
      <c r="D214" s="574">
        <f>IF(C214&lt;&gt;"",IF(C214 = LARGE($C$202:$C$226,1), C214, ""), "")</f>
        <v>0.08</v>
      </c>
      <c r="E214" s="122">
        <f>ROUNDUP($A$214,0)</f>
        <v>386</v>
      </c>
      <c r="F214" s="569">
        <f>IF('Registro Original'!F214 = "", "", 'Registro Original'!F214)</f>
        <v>8.1000000000000003E-2</v>
      </c>
      <c r="G214" s="36" t="str">
        <f>IF(F214 &lt;&gt;"", IF(F214 = LARGE($E$202:$E$226,1), F214, ""), "")</f>
        <v/>
      </c>
      <c r="U214" s="608">
        <v>6</v>
      </c>
      <c r="V214" s="610">
        <f t="shared" si="137"/>
        <v>385.53878892859126</v>
      </c>
      <c r="W214" s="604">
        <f t="shared" si="133"/>
        <v>8.0165714025497437E-2</v>
      </c>
      <c r="X214" s="604">
        <f t="shared" si="134"/>
        <v>0</v>
      </c>
      <c r="Y214" s="617">
        <f t="shared" si="135"/>
        <v>-1.3408855593297631E-3</v>
      </c>
      <c r="Z214" s="605">
        <f t="shared" si="136"/>
        <v>385.53878892859126</v>
      </c>
      <c r="AA214" s="621"/>
      <c r="AD214" s="50">
        <v>659.1</v>
      </c>
      <c r="AE214" s="51">
        <v>80.635000000000005</v>
      </c>
      <c r="AF214" s="52">
        <f t="shared" si="127"/>
        <v>9.347640971467408E-2</v>
      </c>
    </row>
    <row r="215" spans="1:32" ht="15" customHeight="1" thickBot="1">
      <c r="A215" s="46"/>
      <c r="B215" s="42">
        <f>IF(ISNUMBER($G$45),B214-$G$45,"")</f>
        <v>385</v>
      </c>
      <c r="C215" s="569">
        <f>IF('Registro Original'!C215 = "", "", 'Registro Original'!C215)</f>
        <v>0.08</v>
      </c>
      <c r="D215" s="574">
        <f t="shared" ref="D215:D226" si="138">IF(C215&lt;&gt;"",IF(C215 = LARGE($C$202:$C$226,1), C215, ""), "")</f>
        <v>0.08</v>
      </c>
      <c r="E215" s="42">
        <f>IF(ISNUMBER($G$45),E214-$K$45,"")</f>
        <v>385.5</v>
      </c>
      <c r="F215" s="569">
        <f>IF('Registro Original'!F215 = "", "", 'Registro Original'!F215)</f>
        <v>0.08</v>
      </c>
      <c r="G215" s="36" t="str">
        <f t="shared" ref="G215:G226" si="139">IF(F215 &lt;&gt;"", IF(F215 = LARGE($E$202:$E$226,1), F215, ""), "")</f>
        <v/>
      </c>
      <c r="U215" s="611">
        <v>7</v>
      </c>
      <c r="V215" s="657">
        <f t="shared" si="137"/>
        <v>385.53878892859126</v>
      </c>
      <c r="W215" s="612">
        <f t="shared" si="133"/>
        <v>8.0165714025497437E-2</v>
      </c>
      <c r="X215" s="612">
        <f t="shared" si="134"/>
        <v>0</v>
      </c>
      <c r="Y215" s="618">
        <f t="shared" si="135"/>
        <v>-1.3408855593297631E-3</v>
      </c>
      <c r="Z215" s="634">
        <f t="shared" si="136"/>
        <v>385.53878892859126</v>
      </c>
      <c r="AA215" s="622"/>
      <c r="AD215" s="50">
        <v>659</v>
      </c>
      <c r="AE215" s="51">
        <v>80.697000000000003</v>
      </c>
      <c r="AF215" s="52">
        <f t="shared" si="127"/>
        <v>9.3142610354304683E-2</v>
      </c>
    </row>
    <row r="216" spans="1:32" ht="15" customHeight="1">
      <c r="A216" s="46"/>
      <c r="B216" s="42">
        <f t="shared" ref="B216:B226" si="140">IF(ISNUMBER($G$45),B215-$G$45,"")</f>
        <v>384</v>
      </c>
      <c r="C216" s="569">
        <f>IF('Registro Original'!C216 = "", "", 'Registro Original'!C216)</f>
        <v>7.9000000000000001E-2</v>
      </c>
      <c r="D216" s="574" t="str">
        <f t="shared" si="138"/>
        <v/>
      </c>
      <c r="E216" s="42">
        <f t="shared" ref="E216:E226" si="141">IF(ISNUMBER($G$45),E215-$K$45,"")</f>
        <v>385</v>
      </c>
      <c r="F216" s="569">
        <f>IF('Registro Original'!F216 = "", "", 'Registro Original'!F216)</f>
        <v>7.9000000000000001E-2</v>
      </c>
      <c r="G216" s="36" t="str">
        <f t="shared" si="139"/>
        <v/>
      </c>
      <c r="U216" s="602" t="s">
        <v>359</v>
      </c>
      <c r="V216" s="88" t="s">
        <v>360</v>
      </c>
      <c r="W216" s="88" t="s">
        <v>361</v>
      </c>
      <c r="X216" s="88" t="s">
        <v>362</v>
      </c>
      <c r="Y216" s="88" t="s">
        <v>363</v>
      </c>
      <c r="Z216" s="88" t="s">
        <v>364</v>
      </c>
      <c r="AA216" s="603" t="s">
        <v>365</v>
      </c>
      <c r="AB216" s="735" t="s">
        <v>458</v>
      </c>
      <c r="AC216" s="736">
        <f>IF(U217="","",IF(AA217&lt;&gt;0, 6,5))</f>
        <v>5</v>
      </c>
      <c r="AD216" s="50">
        <v>658.9</v>
      </c>
      <c r="AE216" s="51">
        <v>80.754000000000005</v>
      </c>
      <c r="AF216" s="52">
        <f t="shared" si="127"/>
        <v>9.2835956490321336E-2</v>
      </c>
    </row>
    <row r="217" spans="1:32" ht="15" customHeight="1">
      <c r="A217" s="46"/>
      <c r="B217" s="42">
        <f t="shared" si="140"/>
        <v>383</v>
      </c>
      <c r="C217" s="569">
        <f>IF('Registro Original'!C217 = "", "", 'Registro Original'!C217)</f>
        <v>7.5999999999999998E-2</v>
      </c>
      <c r="D217" s="574" t="str">
        <f t="shared" si="138"/>
        <v/>
      </c>
      <c r="E217" s="42">
        <f t="shared" si="141"/>
        <v>384.5</v>
      </c>
      <c r="F217" s="569">
        <f>IF('Registro Original'!F217 = "", "", 'Registro Original'!F217)</f>
        <v>7.4999999999999997E-2</v>
      </c>
      <c r="G217" s="36" t="str">
        <f t="shared" si="139"/>
        <v/>
      </c>
      <c r="U217" s="633">
        <v>-710360555.83331394</v>
      </c>
      <c r="V217" s="612">
        <v>9211318.9131081495</v>
      </c>
      <c r="W217" s="612">
        <v>-47777.376833896</v>
      </c>
      <c r="X217" s="612">
        <v>123.90541666813</v>
      </c>
      <c r="Y217" s="612">
        <v>-0.16066666666856999</v>
      </c>
      <c r="Z217" s="612">
        <v>8.3333333334323397E-5</v>
      </c>
      <c r="AA217" s="634">
        <v>0</v>
      </c>
      <c r="AB217" s="737" t="s">
        <v>459</v>
      </c>
      <c r="AC217" s="732">
        <f>IF(AC216="", "",AC216 +1)</f>
        <v>6</v>
      </c>
      <c r="AD217" s="50">
        <v>658.8</v>
      </c>
      <c r="AE217" s="51">
        <v>80.826999999999998</v>
      </c>
      <c r="AF217" s="52">
        <f t="shared" si="127"/>
        <v>9.2443540310994096E-2</v>
      </c>
    </row>
    <row r="218" spans="1:32" ht="15" customHeight="1">
      <c r="A218" s="46"/>
      <c r="B218" s="42">
        <f t="shared" si="140"/>
        <v>382</v>
      </c>
      <c r="C218" s="569">
        <f>IF('Registro Original'!C218 = "", "", 'Registro Original'!C218)</f>
        <v>7.2999999999999995E-2</v>
      </c>
      <c r="D218" s="574" t="str">
        <f t="shared" si="138"/>
        <v/>
      </c>
      <c r="E218" s="42">
        <f t="shared" si="141"/>
        <v>384</v>
      </c>
      <c r="F218" s="569">
        <f>IF('Registro Original'!F218 = "", "", 'Registro Original'!F218)</f>
        <v>7.1999999999999995E-2</v>
      </c>
      <c r="G218" s="36" t="str">
        <f t="shared" si="139"/>
        <v/>
      </c>
      <c r="U218" s="606" t="s">
        <v>373</v>
      </c>
      <c r="V218" s="607" t="s">
        <v>369</v>
      </c>
      <c r="W218" s="601" t="s">
        <v>375</v>
      </c>
      <c r="X218" s="601" t="s">
        <v>367</v>
      </c>
      <c r="Y218" s="601" t="s">
        <v>368</v>
      </c>
      <c r="Z218" s="635" t="s">
        <v>370</v>
      </c>
      <c r="AA218" s="636" t="s">
        <v>369</v>
      </c>
      <c r="AB218" s="737" t="s">
        <v>460</v>
      </c>
      <c r="AC218" s="605">
        <f xml:space="preserve"> 0.999999979529594</f>
        <v>0.99999997952959396</v>
      </c>
      <c r="AD218" s="50">
        <v>658.7</v>
      </c>
      <c r="AE218" s="51">
        <v>80.875</v>
      </c>
      <c r="AF218" s="52">
        <f t="shared" si="127"/>
        <v>9.2185706323243216E-2</v>
      </c>
    </row>
    <row r="219" spans="1:32" ht="15" customHeight="1">
      <c r="A219" s="46"/>
      <c r="B219" s="42">
        <f t="shared" si="140"/>
        <v>381</v>
      </c>
      <c r="C219" s="569">
        <f>IF('Registro Original'!C219 = "", "", 'Registro Original'!C219)</f>
        <v>6.9000000000000006E-2</v>
      </c>
      <c r="D219" s="574" t="str">
        <f t="shared" si="138"/>
        <v/>
      </c>
      <c r="E219" s="42">
        <f t="shared" si="141"/>
        <v>383.5</v>
      </c>
      <c r="F219" s="569">
        <f>IF('Registro Original'!F219 = "", "", 'Registro Original'!F219)</f>
        <v>6.8000000000000005E-2</v>
      </c>
      <c r="G219" s="36" t="str">
        <f t="shared" si="139"/>
        <v/>
      </c>
      <c r="U219" s="608">
        <v>1</v>
      </c>
      <c r="V219" s="642">
        <v>385.9</v>
      </c>
      <c r="W219" s="604">
        <f xml:space="preserve"> $U$217 + $V$217*(V219) + $W$217*(V219^2) + $X$217*(V219^3) + $Y$217*(V219^4) + $Z$217*(V219^5) + $AA$217*(V219^6)</f>
        <v>8.0971956253051758E-2</v>
      </c>
      <c r="X219" s="604">
        <f xml:space="preserve"> ($V$217 +  2*$W$217*(V219) +  3*$X$217*(V219^2) + 4*$Y$217*(V219^3) + 5*$Z$217*(V219^4) + 6*$AA$217*(V219^5))</f>
        <v>3.1510740518569946E-4</v>
      </c>
      <c r="Y219" s="617">
        <f xml:space="preserve"> (2*$W$217 + 6*$X$217*(V219) + 12*$Y$217*(V219^2) + 20*$Z$217*(V219^3) + 30*$AA$217*(V219^4))</f>
        <v>-2.9650004726136103E-3</v>
      </c>
      <c r="Z219" s="605">
        <f>V219 - (X219/Y219)</f>
        <v>386.00627566777683</v>
      </c>
      <c r="AA219" s="639">
        <v>385.99997049932642</v>
      </c>
      <c r="AB219" s="738" t="s">
        <v>461</v>
      </c>
      <c r="AC219" s="605">
        <f>IF(AC218="",  "", SQRT(AC218)/(AC217))</f>
        <v>0.16666666496079949</v>
      </c>
      <c r="AD219" s="50">
        <v>658.6</v>
      </c>
      <c r="AE219" s="51">
        <v>80.930000000000007</v>
      </c>
      <c r="AF219" s="52">
        <f t="shared" si="127"/>
        <v>9.1890459607447822E-2</v>
      </c>
    </row>
    <row r="220" spans="1:32" ht="15" customHeight="1">
      <c r="A220" s="590" t="s">
        <v>351</v>
      </c>
      <c r="B220" s="42">
        <f t="shared" si="140"/>
        <v>380</v>
      </c>
      <c r="C220" s="569">
        <f>IF('Registro Original'!C220 = "", "", 'Registro Original'!C220)</f>
        <v>6.3E-2</v>
      </c>
      <c r="D220" s="574" t="str">
        <f t="shared" si="138"/>
        <v/>
      </c>
      <c r="E220" s="42">
        <f t="shared" si="141"/>
        <v>383</v>
      </c>
      <c r="F220" s="569">
        <f>IF('Registro Original'!F220 = "", "", 'Registro Original'!F220)</f>
        <v>6.3E-2</v>
      </c>
      <c r="G220" s="36" t="str">
        <f t="shared" si="139"/>
        <v/>
      </c>
      <c r="U220" s="608">
        <v>2</v>
      </c>
      <c r="V220" s="610">
        <f>Z219</f>
        <v>386.00627566777683</v>
      </c>
      <c r="W220" s="604">
        <f t="shared" ref="W220:W225" si="142" xml:space="preserve"> $U$217 + $V$217*(V220) + $W$217*(V220^2) + $X$217*(V220^3) + $Y$217*(V220^4) + $Z$217*(V220^5) + $AA$217*(V220^6)</f>
        <v>8.0987930297851563E-2</v>
      </c>
      <c r="X220" s="604">
        <f t="shared" ref="X220:X225" si="143" xml:space="preserve"> ($V$217 +  2*$W$217*(V220) +  3*$X$217*(V220^2) + 4*$Y$217*(V220^3) + 5*$Z$217*(V220^4) + 6*$AA$217*(V220^5))</f>
        <v>-2.1088868379592896E-5</v>
      </c>
      <c r="Y220" s="617">
        <f t="shared" ref="Y220:Y225" si="144" xml:space="preserve"> (2*$W$217 + 6*$X$217*(V220) + 12*$Y$217*(V220^2) + 20*$Z$217*(V220^3) + 30*$AA$217*(V220^4))</f>
        <v>-3.3552194945514202E-3</v>
      </c>
      <c r="Z220" s="605">
        <f t="shared" ref="Z220:Z225" si="145">V220 - (X220/Y220)</f>
        <v>385.999990276191</v>
      </c>
      <c r="AA220" s="620" t="s">
        <v>371</v>
      </c>
      <c r="AB220" s="738" t="s">
        <v>463</v>
      </c>
      <c r="AC220" s="732">
        <f>COUNT(U207,U217)</f>
        <v>2</v>
      </c>
      <c r="AD220" s="50">
        <v>658.5</v>
      </c>
      <c r="AE220" s="51">
        <v>80.948999999999998</v>
      </c>
      <c r="AF220" s="52">
        <f t="shared" si="127"/>
        <v>9.1788511915726845E-2</v>
      </c>
    </row>
    <row r="221" spans="1:32" ht="15" customHeight="1">
      <c r="A221" s="46"/>
      <c r="B221" s="42">
        <f t="shared" si="140"/>
        <v>379</v>
      </c>
      <c r="C221" s="569" t="str">
        <f>IF('Registro Original'!C221 = "", "", 'Registro Original'!C221)</f>
        <v/>
      </c>
      <c r="D221" s="574" t="str">
        <f t="shared" si="138"/>
        <v/>
      </c>
      <c r="E221" s="42">
        <f t="shared" si="141"/>
        <v>382.5</v>
      </c>
      <c r="F221" s="569">
        <f>IF('Registro Original'!F221 = "", "", 'Registro Original'!F221)</f>
        <v>5.8999999999999997E-2</v>
      </c>
      <c r="G221" s="36" t="str">
        <f t="shared" si="139"/>
        <v/>
      </c>
      <c r="U221" s="608">
        <v>3</v>
      </c>
      <c r="V221" s="610">
        <f t="shared" ref="V221:V225" si="146">Z220</f>
        <v>385.999990276191</v>
      </c>
      <c r="W221" s="604">
        <f t="shared" si="142"/>
        <v>8.0986738204956055E-2</v>
      </c>
      <c r="X221" s="604">
        <f t="shared" si="143"/>
        <v>-6.1467289924621582E-8</v>
      </c>
      <c r="Y221" s="617">
        <f t="shared" si="144"/>
        <v>-3.3332997554680333E-3</v>
      </c>
      <c r="Z221" s="605">
        <f t="shared" si="145"/>
        <v>385.99997183581826</v>
      </c>
      <c r="AA221" s="637">
        <f xml:space="preserve"> ($V$217 +  2*$W$217*(AA219) +  3*$X$217*(AA219^2) + 4*$Y$217*(AA219^3) + 5*$Z$217*(AA219^4) + 6*$AA$217*(AA219^5))</f>
        <v>0</v>
      </c>
      <c r="AB221" s="739" t="s">
        <v>462</v>
      </c>
      <c r="AC221" s="634">
        <f>IF(AC219="", "", AC219/SQRT(AC220))</f>
        <v>0.11785112899152766</v>
      </c>
      <c r="AD221" s="50">
        <v>658.4</v>
      </c>
      <c r="AE221" s="51">
        <v>81.013000000000005</v>
      </c>
      <c r="AF221" s="52">
        <f t="shared" si="127"/>
        <v>9.1445285130573456E-2</v>
      </c>
    </row>
    <row r="222" spans="1:32" ht="15" customHeight="1">
      <c r="A222" s="46"/>
      <c r="B222" s="42">
        <f t="shared" si="140"/>
        <v>378</v>
      </c>
      <c r="C222" s="569" t="str">
        <f>IF('Registro Original'!C222 = "", "", 'Registro Original'!C222)</f>
        <v/>
      </c>
      <c r="D222" s="574" t="str">
        <f t="shared" si="138"/>
        <v/>
      </c>
      <c r="E222" s="42">
        <f t="shared" si="141"/>
        <v>382</v>
      </c>
      <c r="F222" s="569" t="str">
        <f>IF('Registro Original'!F222 = "", "", 'Registro Original'!F222)</f>
        <v/>
      </c>
      <c r="G222" s="36" t="str">
        <f t="shared" si="139"/>
        <v/>
      </c>
      <c r="U222" s="608">
        <v>4</v>
      </c>
      <c r="V222" s="610">
        <f t="shared" si="146"/>
        <v>385.99997183581826</v>
      </c>
      <c r="W222" s="604">
        <f t="shared" si="142"/>
        <v>8.0986380577087402E-2</v>
      </c>
      <c r="X222" s="604">
        <f t="shared" si="143"/>
        <v>-3.7252902984619141E-9</v>
      </c>
      <c r="Y222" s="617">
        <f t="shared" si="144"/>
        <v>-3.3332352322759107E-3</v>
      </c>
      <c r="Z222" s="605">
        <f t="shared" si="145"/>
        <v>385.99997071819826</v>
      </c>
      <c r="AA222" s="621"/>
      <c r="AD222" s="50">
        <v>658.3</v>
      </c>
      <c r="AE222" s="51">
        <v>81.052999999999997</v>
      </c>
      <c r="AF222" s="52">
        <f t="shared" si="127"/>
        <v>9.1230906055025582E-2</v>
      </c>
    </row>
    <row r="223" spans="1:32" ht="15" customHeight="1">
      <c r="A223" s="46"/>
      <c r="B223" s="42">
        <f t="shared" si="140"/>
        <v>377</v>
      </c>
      <c r="C223" s="569" t="str">
        <f>IF('Registro Original'!C223 = "", "", 'Registro Original'!C223)</f>
        <v/>
      </c>
      <c r="D223" s="574" t="str">
        <f t="shared" si="138"/>
        <v/>
      </c>
      <c r="E223" s="42">
        <f t="shared" si="141"/>
        <v>381.5</v>
      </c>
      <c r="F223" s="569" t="str">
        <f>IF('Registro Original'!F223 = "", "", 'Registro Original'!F223)</f>
        <v/>
      </c>
      <c r="G223" s="36" t="str">
        <f t="shared" si="139"/>
        <v/>
      </c>
      <c r="U223" s="608">
        <v>5</v>
      </c>
      <c r="V223" s="610">
        <f t="shared" si="146"/>
        <v>385.99997071819826</v>
      </c>
      <c r="W223" s="604">
        <f t="shared" si="142"/>
        <v>8.0988168716430664E-2</v>
      </c>
      <c r="X223" s="604">
        <f t="shared" si="143"/>
        <v>0</v>
      </c>
      <c r="Y223" s="617">
        <f t="shared" si="144"/>
        <v>-3.3332312887068838E-3</v>
      </c>
      <c r="Z223" s="605">
        <f t="shared" si="145"/>
        <v>385.99997071819826</v>
      </c>
      <c r="AA223" s="621"/>
      <c r="AD223" s="50">
        <v>658.2</v>
      </c>
      <c r="AE223" s="51">
        <v>81.13</v>
      </c>
      <c r="AF223" s="52">
        <f t="shared" si="127"/>
        <v>9.0818524022147226E-2</v>
      </c>
    </row>
    <row r="224" spans="1:32" ht="15" customHeight="1">
      <c r="A224" s="46"/>
      <c r="B224" s="42">
        <f t="shared" si="140"/>
        <v>376</v>
      </c>
      <c r="C224" s="569" t="str">
        <f>IF('Registro Original'!C224 = "", "", 'Registro Original'!C224)</f>
        <v/>
      </c>
      <c r="D224" s="574" t="str">
        <f t="shared" si="138"/>
        <v/>
      </c>
      <c r="E224" s="42">
        <f t="shared" si="141"/>
        <v>381</v>
      </c>
      <c r="F224" s="569" t="str">
        <f>IF('Registro Original'!F224 = "", "", 'Registro Original'!F224)</f>
        <v/>
      </c>
      <c r="G224" s="36" t="str">
        <f t="shared" si="139"/>
        <v/>
      </c>
      <c r="U224" s="608">
        <v>6</v>
      </c>
      <c r="V224" s="610">
        <f t="shared" si="146"/>
        <v>385.99997071819826</v>
      </c>
      <c r="W224" s="604">
        <f t="shared" si="142"/>
        <v>8.0988168716430664E-2</v>
      </c>
      <c r="X224" s="604">
        <f t="shared" si="143"/>
        <v>0</v>
      </c>
      <c r="Y224" s="617">
        <f t="shared" si="144"/>
        <v>-3.3332312887068838E-3</v>
      </c>
      <c r="Z224" s="605">
        <f t="shared" si="145"/>
        <v>385.99997071819826</v>
      </c>
      <c r="AA224" s="621"/>
      <c r="AD224" s="50">
        <v>658.1</v>
      </c>
      <c r="AE224" s="51">
        <v>81.173000000000002</v>
      </c>
      <c r="AF224" s="52">
        <f t="shared" si="127"/>
        <v>9.0588403036598222E-2</v>
      </c>
    </row>
    <row r="225" spans="1:94" ht="15" customHeight="1">
      <c r="A225" s="46"/>
      <c r="B225" s="42">
        <f t="shared" si="140"/>
        <v>375</v>
      </c>
      <c r="C225" s="569" t="str">
        <f>IF('Registro Original'!C225 = "", "", 'Registro Original'!C225)</f>
        <v/>
      </c>
      <c r="D225" s="574" t="str">
        <f t="shared" si="138"/>
        <v/>
      </c>
      <c r="E225" s="42">
        <f t="shared" si="141"/>
        <v>380.5</v>
      </c>
      <c r="F225" s="569" t="str">
        <f>IF('Registro Original'!F225 = "", "", 'Registro Original'!F225)</f>
        <v/>
      </c>
      <c r="G225" s="36" t="str">
        <f t="shared" si="139"/>
        <v/>
      </c>
      <c r="U225" s="611">
        <v>7</v>
      </c>
      <c r="V225" s="658">
        <f t="shared" si="146"/>
        <v>385.99997071819826</v>
      </c>
      <c r="W225" s="612">
        <f t="shared" si="142"/>
        <v>8.0988168716430664E-2</v>
      </c>
      <c r="X225" s="612">
        <f t="shared" si="143"/>
        <v>0</v>
      </c>
      <c r="Y225" s="618">
        <f t="shared" si="144"/>
        <v>-3.3332312887068838E-3</v>
      </c>
      <c r="Z225" s="634">
        <f t="shared" si="145"/>
        <v>385.99997071819826</v>
      </c>
      <c r="AA225" s="622"/>
      <c r="AD225" s="50">
        <v>658</v>
      </c>
      <c r="AE225" s="51">
        <v>81.218999999999994</v>
      </c>
      <c r="AF225" s="52">
        <f t="shared" si="127"/>
        <v>9.0342362016081534E-2</v>
      </c>
    </row>
    <row r="226" spans="1:94" ht="15" customHeight="1" thickBot="1">
      <c r="A226" s="43"/>
      <c r="B226" s="47">
        <f t="shared" si="140"/>
        <v>374</v>
      </c>
      <c r="C226" s="570" t="str">
        <f>IF('Registro Original'!C226 = "", "", 'Registro Original'!C226)</f>
        <v/>
      </c>
      <c r="D226" s="575" t="str">
        <f t="shared" si="138"/>
        <v/>
      </c>
      <c r="E226" s="47">
        <f t="shared" si="141"/>
        <v>380</v>
      </c>
      <c r="F226" s="570" t="str">
        <f>IF('Registro Original'!F226 = "", "", 'Registro Original'!F226)</f>
        <v/>
      </c>
      <c r="G226" s="571" t="str">
        <f t="shared" si="139"/>
        <v/>
      </c>
      <c r="AD226" s="50">
        <v>657.9</v>
      </c>
      <c r="AE226" s="51">
        <v>81.304000000000002</v>
      </c>
      <c r="AF226" s="52">
        <f t="shared" si="127"/>
        <v>8.9888087429375749E-2</v>
      </c>
    </row>
    <row r="227" spans="1:94" ht="15" customHeight="1" thickTop="1">
      <c r="A227" s="46"/>
      <c r="B227" s="42">
        <f t="shared" ref="B227:B237" si="147">IF(ISNUMBER($G$45),B228+$G$45,"")</f>
        <v>373</v>
      </c>
      <c r="C227" s="568" t="str">
        <f>IF('Registro Original'!C227 = "", "", 'Registro Original'!C227)</f>
        <v/>
      </c>
      <c r="D227" s="574" t="str">
        <f t="shared" ref="D227:D238" si="148">IF(C227&lt;&gt;"",IF(C227 = LARGE($C$227:$C$251,1), C227, ""), "")</f>
        <v/>
      </c>
      <c r="E227" s="42">
        <f t="shared" ref="E227:E237" si="149">IF(ISNUMBER($G$45),E228+$K$45,"")</f>
        <v>367</v>
      </c>
      <c r="F227" s="568" t="str">
        <f>IF('Registro Original'!F227 = "", "", 'Registro Original'!F227)</f>
        <v/>
      </c>
      <c r="G227" s="36" t="str">
        <f t="shared" ref="G227:G251" si="150">IF(F227 &lt;&gt;"", IF(F227 = LARGE($F$227:$F$251,1), F227, ""), "")</f>
        <v/>
      </c>
      <c r="U227" s="103" t="s">
        <v>88</v>
      </c>
      <c r="V227" s="104" t="s">
        <v>89</v>
      </c>
      <c r="W227" s="105" t="s">
        <v>90</v>
      </c>
      <c r="X227" s="104" t="s">
        <v>91</v>
      </c>
      <c r="Y227" s="106" t="s">
        <v>96</v>
      </c>
      <c r="Z227" s="626" t="s">
        <v>378</v>
      </c>
      <c r="AA227" s="627" t="s">
        <v>379</v>
      </c>
      <c r="AB227" s="627" t="s">
        <v>380</v>
      </c>
      <c r="AC227" s="632" t="s">
        <v>381</v>
      </c>
      <c r="AD227" s="50">
        <v>657.8</v>
      </c>
      <c r="AE227" s="51">
        <v>81.382999999999996</v>
      </c>
      <c r="AF227" s="52">
        <f t="shared" si="127"/>
        <v>8.9466304905054903E-2</v>
      </c>
    </row>
    <row r="228" spans="1:94" ht="15" customHeight="1" thickBot="1">
      <c r="A228" s="46"/>
      <c r="B228" s="42">
        <f t="shared" si="147"/>
        <v>372</v>
      </c>
      <c r="C228" s="569" t="str">
        <f>IF('Registro Original'!C228 = "", "", 'Registro Original'!C228)</f>
        <v/>
      </c>
      <c r="D228" s="574" t="str">
        <f t="shared" si="148"/>
        <v/>
      </c>
      <c r="E228" s="42">
        <f t="shared" si="149"/>
        <v>366.5</v>
      </c>
      <c r="F228" s="569" t="str">
        <f>IF('Registro Original'!F228 = "", "", 'Registro Original'!F228)</f>
        <v/>
      </c>
      <c r="G228" s="36" t="str">
        <f t="shared" si="150"/>
        <v/>
      </c>
      <c r="U228" s="644">
        <v>366.8</v>
      </c>
      <c r="V228" s="643">
        <v>0.13619999999999999</v>
      </c>
      <c r="W228" s="645">
        <v>360.9</v>
      </c>
      <c r="X228" s="643">
        <v>1.0799000000000001</v>
      </c>
      <c r="Y228" s="646">
        <f>(V228 + X228)/2</f>
        <v>0.60804999999999998</v>
      </c>
      <c r="Z228" s="630">
        <f>AC228 - AB228</f>
        <v>2</v>
      </c>
      <c r="AA228" s="628">
        <f>X228 - Y228</f>
        <v>0.4718500000000001</v>
      </c>
      <c r="AB228" s="629">
        <v>360</v>
      </c>
      <c r="AC228" s="631">
        <v>362</v>
      </c>
      <c r="AD228" s="50">
        <v>657.7</v>
      </c>
      <c r="AE228" s="51">
        <v>81.477999999999994</v>
      </c>
      <c r="AF228" s="52">
        <f t="shared" si="127"/>
        <v>8.8959639951992936E-2</v>
      </c>
    </row>
    <row r="229" spans="1:94" ht="15" customHeight="1" thickBot="1">
      <c r="A229" s="46"/>
      <c r="B229" s="42">
        <f t="shared" si="147"/>
        <v>371</v>
      </c>
      <c r="C229" s="569" t="str">
        <f>IF('Registro Original'!C229 = "", "", 'Registro Original'!C229)</f>
        <v/>
      </c>
      <c r="D229" s="574" t="str">
        <f t="shared" si="148"/>
        <v/>
      </c>
      <c r="E229" s="42">
        <f t="shared" si="149"/>
        <v>366</v>
      </c>
      <c r="F229" s="569" t="str">
        <f>IF('Registro Original'!F229 = "", "", 'Registro Original'!F229)</f>
        <v/>
      </c>
      <c r="G229" s="36" t="str">
        <f t="shared" si="150"/>
        <v/>
      </c>
      <c r="AD229" s="50">
        <v>657.6</v>
      </c>
      <c r="AE229" s="51">
        <v>81.534999999999997</v>
      </c>
      <c r="AF229" s="52">
        <f t="shared" si="127"/>
        <v>8.8655924463321767E-2</v>
      </c>
      <c r="AG229" s="746" t="s">
        <v>95</v>
      </c>
      <c r="AH229" s="50">
        <v>354.8</v>
      </c>
      <c r="AI229" s="50">
        <f t="shared" ref="AI229:CP229" si="151">AH229+0.2</f>
        <v>355</v>
      </c>
      <c r="AJ229" s="50">
        <f t="shared" si="151"/>
        <v>355.2</v>
      </c>
      <c r="AK229" s="50">
        <f t="shared" si="151"/>
        <v>355.4</v>
      </c>
      <c r="AL229" s="50">
        <f t="shared" si="151"/>
        <v>355.59999999999997</v>
      </c>
      <c r="AM229" s="50">
        <f t="shared" si="151"/>
        <v>355.79999999999995</v>
      </c>
      <c r="AN229" s="50">
        <f t="shared" si="151"/>
        <v>355.99999999999994</v>
      </c>
      <c r="AO229" s="50">
        <f t="shared" si="151"/>
        <v>356.19999999999993</v>
      </c>
      <c r="AP229" s="50">
        <f t="shared" si="151"/>
        <v>356.39999999999992</v>
      </c>
      <c r="AQ229" s="50">
        <f t="shared" si="151"/>
        <v>356.59999999999991</v>
      </c>
      <c r="AR229" s="50">
        <f t="shared" si="151"/>
        <v>356.7999999999999</v>
      </c>
      <c r="AS229" s="50">
        <f t="shared" si="151"/>
        <v>356.99999999999989</v>
      </c>
      <c r="AT229" s="50">
        <f t="shared" si="151"/>
        <v>357.19999999999987</v>
      </c>
      <c r="AU229" s="50">
        <f t="shared" si="151"/>
        <v>357.39999999999986</v>
      </c>
      <c r="AV229" s="50">
        <f t="shared" si="151"/>
        <v>357.59999999999985</v>
      </c>
      <c r="AW229" s="50">
        <f t="shared" si="151"/>
        <v>357.79999999999984</v>
      </c>
      <c r="AX229" s="50">
        <f t="shared" si="151"/>
        <v>357.99999999999983</v>
      </c>
      <c r="AY229" s="50">
        <f t="shared" si="151"/>
        <v>358.19999999999982</v>
      </c>
      <c r="AZ229" s="50">
        <f t="shared" si="151"/>
        <v>358.39999999999981</v>
      </c>
      <c r="BA229" s="50">
        <f t="shared" si="151"/>
        <v>358.5999999999998</v>
      </c>
      <c r="BB229" s="50">
        <f t="shared" si="151"/>
        <v>358.79999999999978</v>
      </c>
      <c r="BC229" s="50">
        <f t="shared" si="151"/>
        <v>358.99999999999977</v>
      </c>
      <c r="BD229" s="50">
        <f t="shared" si="151"/>
        <v>359.19999999999976</v>
      </c>
      <c r="BE229" s="50">
        <f t="shared" si="151"/>
        <v>359.39999999999975</v>
      </c>
      <c r="BF229" s="50">
        <f t="shared" si="151"/>
        <v>359.59999999999974</v>
      </c>
      <c r="BG229" s="50">
        <f t="shared" si="151"/>
        <v>359.79999999999973</v>
      </c>
      <c r="BH229" s="50">
        <f t="shared" si="151"/>
        <v>359.99999999999972</v>
      </c>
      <c r="BI229" s="50">
        <f t="shared" si="151"/>
        <v>360.1999999999997</v>
      </c>
      <c r="BJ229" s="50">
        <f t="shared" si="151"/>
        <v>360.39999999999969</v>
      </c>
      <c r="BK229" s="50">
        <f t="shared" si="151"/>
        <v>360.59999999999968</v>
      </c>
      <c r="BL229" s="50">
        <f t="shared" si="151"/>
        <v>360.79999999999967</v>
      </c>
      <c r="BM229" s="50">
        <f t="shared" si="151"/>
        <v>360.99999999999966</v>
      </c>
      <c r="BN229" s="50">
        <f t="shared" si="151"/>
        <v>361.19999999999965</v>
      </c>
      <c r="BO229" s="50">
        <f t="shared" si="151"/>
        <v>361.39999999999964</v>
      </c>
      <c r="BP229" s="50">
        <f t="shared" si="151"/>
        <v>361.59999999999962</v>
      </c>
      <c r="BQ229" s="50">
        <f t="shared" si="151"/>
        <v>361.79999999999961</v>
      </c>
      <c r="BR229" s="50">
        <f t="shared" si="151"/>
        <v>361.9999999999996</v>
      </c>
      <c r="BS229" s="50">
        <f t="shared" si="151"/>
        <v>362.19999999999959</v>
      </c>
      <c r="BT229" s="50">
        <f t="shared" si="151"/>
        <v>362.39999999999958</v>
      </c>
      <c r="BU229" s="50">
        <f t="shared" si="151"/>
        <v>362.59999999999957</v>
      </c>
      <c r="BV229" s="50">
        <f t="shared" si="151"/>
        <v>362.79999999999956</v>
      </c>
      <c r="BW229" s="50">
        <f t="shared" si="151"/>
        <v>362.99999999999955</v>
      </c>
      <c r="BX229" s="50">
        <f t="shared" si="151"/>
        <v>363.19999999999953</v>
      </c>
      <c r="BY229" s="50">
        <f t="shared" si="151"/>
        <v>363.39999999999952</v>
      </c>
      <c r="BZ229" s="50">
        <f t="shared" si="151"/>
        <v>363.59999999999951</v>
      </c>
      <c r="CA229" s="50">
        <f t="shared" si="151"/>
        <v>363.7999999999995</v>
      </c>
      <c r="CB229" s="50">
        <f t="shared" si="151"/>
        <v>363.99999999999949</v>
      </c>
      <c r="CC229" s="50">
        <f t="shared" si="151"/>
        <v>364.19999999999948</v>
      </c>
      <c r="CD229" s="50">
        <f t="shared" si="151"/>
        <v>364.39999999999947</v>
      </c>
      <c r="CE229" s="50">
        <f t="shared" si="151"/>
        <v>364.59999999999945</v>
      </c>
      <c r="CF229" s="50">
        <f t="shared" si="151"/>
        <v>364.79999999999944</v>
      </c>
      <c r="CG229" s="50">
        <f t="shared" si="151"/>
        <v>364.99999999999943</v>
      </c>
      <c r="CH229" s="50">
        <f t="shared" si="151"/>
        <v>365.19999999999942</v>
      </c>
      <c r="CI229" s="50">
        <f t="shared" si="151"/>
        <v>365.39999999999941</v>
      </c>
      <c r="CJ229" s="50">
        <f t="shared" si="151"/>
        <v>365.5999999999994</v>
      </c>
      <c r="CK229" s="50">
        <f t="shared" si="151"/>
        <v>365.79999999999939</v>
      </c>
      <c r="CL229" s="50">
        <f t="shared" si="151"/>
        <v>365.99999999999937</v>
      </c>
      <c r="CM229" s="50">
        <f t="shared" si="151"/>
        <v>366.19999999999936</v>
      </c>
      <c r="CN229" s="50">
        <f t="shared" si="151"/>
        <v>366.39999999999935</v>
      </c>
      <c r="CO229" s="50">
        <f t="shared" si="151"/>
        <v>366.59999999999934</v>
      </c>
      <c r="CP229" s="50">
        <f t="shared" si="151"/>
        <v>366.79999999999933</v>
      </c>
    </row>
    <row r="230" spans="1:94" ht="15" customHeight="1" thickBot="1">
      <c r="A230" s="46"/>
      <c r="B230" s="42">
        <f t="shared" si="147"/>
        <v>370</v>
      </c>
      <c r="C230" s="569" t="str">
        <f>IF('Registro Original'!C230 = "", "", 'Registro Original'!C230)</f>
        <v/>
      </c>
      <c r="D230" s="574" t="str">
        <f t="shared" si="148"/>
        <v/>
      </c>
      <c r="E230" s="42">
        <f t="shared" si="149"/>
        <v>365.5</v>
      </c>
      <c r="F230" s="569" t="str">
        <f>IF('Registro Original'!F230 = "", "", 'Registro Original'!F230)</f>
        <v/>
      </c>
      <c r="G230" s="36" t="str">
        <f t="shared" si="150"/>
        <v/>
      </c>
      <c r="U230" s="822" t="s">
        <v>374</v>
      </c>
      <c r="V230" s="823"/>
      <c r="W230" s="823"/>
      <c r="X230" s="823"/>
      <c r="Y230" s="823"/>
      <c r="Z230" s="823"/>
      <c r="AA230" s="824"/>
      <c r="AC230" s="640" t="s">
        <v>344</v>
      </c>
      <c r="AD230" s="50">
        <v>657.5</v>
      </c>
      <c r="AE230" s="51">
        <v>81.524000000000001</v>
      </c>
      <c r="AF230" s="52">
        <f t="shared" si="127"/>
        <v>8.8714519687236856E-2</v>
      </c>
      <c r="AG230" s="746"/>
      <c r="AH230" s="52">
        <f>$Y228</f>
        <v>0.60804999999999998</v>
      </c>
      <c r="AI230" s="52">
        <f t="shared" ref="AI230:CP230" si="152">AH230</f>
        <v>0.60804999999999998</v>
      </c>
      <c r="AJ230" s="52">
        <f t="shared" si="152"/>
        <v>0.60804999999999998</v>
      </c>
      <c r="AK230" s="52">
        <f t="shared" si="152"/>
        <v>0.60804999999999998</v>
      </c>
      <c r="AL230" s="52">
        <f t="shared" si="152"/>
        <v>0.60804999999999998</v>
      </c>
      <c r="AM230" s="52">
        <f t="shared" si="152"/>
        <v>0.60804999999999998</v>
      </c>
      <c r="AN230" s="52">
        <f t="shared" si="152"/>
        <v>0.60804999999999998</v>
      </c>
      <c r="AO230" s="52">
        <f t="shared" si="152"/>
        <v>0.60804999999999998</v>
      </c>
      <c r="AP230" s="52">
        <f t="shared" si="152"/>
        <v>0.60804999999999998</v>
      </c>
      <c r="AQ230" s="52">
        <f t="shared" si="152"/>
        <v>0.60804999999999998</v>
      </c>
      <c r="AR230" s="52">
        <f t="shared" si="152"/>
        <v>0.60804999999999998</v>
      </c>
      <c r="AS230" s="52">
        <f t="shared" si="152"/>
        <v>0.60804999999999998</v>
      </c>
      <c r="AT230" s="52">
        <f t="shared" si="152"/>
        <v>0.60804999999999998</v>
      </c>
      <c r="AU230" s="52">
        <f t="shared" si="152"/>
        <v>0.60804999999999998</v>
      </c>
      <c r="AV230" s="52">
        <f t="shared" si="152"/>
        <v>0.60804999999999998</v>
      </c>
      <c r="AW230" s="52">
        <f t="shared" si="152"/>
        <v>0.60804999999999998</v>
      </c>
      <c r="AX230" s="52">
        <f t="shared" si="152"/>
        <v>0.60804999999999998</v>
      </c>
      <c r="AY230" s="52">
        <f t="shared" si="152"/>
        <v>0.60804999999999998</v>
      </c>
      <c r="AZ230" s="52">
        <f t="shared" si="152"/>
        <v>0.60804999999999998</v>
      </c>
      <c r="BA230" s="52">
        <f t="shared" si="152"/>
        <v>0.60804999999999998</v>
      </c>
      <c r="BB230" s="52">
        <f t="shared" si="152"/>
        <v>0.60804999999999998</v>
      </c>
      <c r="BC230" s="52">
        <f t="shared" si="152"/>
        <v>0.60804999999999998</v>
      </c>
      <c r="BD230" s="52">
        <f t="shared" si="152"/>
        <v>0.60804999999999998</v>
      </c>
      <c r="BE230" s="52">
        <f t="shared" si="152"/>
        <v>0.60804999999999998</v>
      </c>
      <c r="BF230" s="52">
        <f t="shared" si="152"/>
        <v>0.60804999999999998</v>
      </c>
      <c r="BG230" s="52">
        <f t="shared" si="152"/>
        <v>0.60804999999999998</v>
      </c>
      <c r="BH230" s="52">
        <f t="shared" si="152"/>
        <v>0.60804999999999998</v>
      </c>
      <c r="BI230" s="52">
        <f t="shared" si="152"/>
        <v>0.60804999999999998</v>
      </c>
      <c r="BJ230" s="52">
        <f t="shared" si="152"/>
        <v>0.60804999999999998</v>
      </c>
      <c r="BK230" s="52">
        <f t="shared" si="152"/>
        <v>0.60804999999999998</v>
      </c>
      <c r="BL230" s="52">
        <f t="shared" si="152"/>
        <v>0.60804999999999998</v>
      </c>
      <c r="BM230" s="52">
        <f t="shared" si="152"/>
        <v>0.60804999999999998</v>
      </c>
      <c r="BN230" s="52">
        <f t="shared" si="152"/>
        <v>0.60804999999999998</v>
      </c>
      <c r="BO230" s="52">
        <f t="shared" si="152"/>
        <v>0.60804999999999998</v>
      </c>
      <c r="BP230" s="52">
        <f t="shared" si="152"/>
        <v>0.60804999999999998</v>
      </c>
      <c r="BQ230" s="52">
        <f t="shared" si="152"/>
        <v>0.60804999999999998</v>
      </c>
      <c r="BR230" s="52">
        <f t="shared" si="152"/>
        <v>0.60804999999999998</v>
      </c>
      <c r="BS230" s="52">
        <f t="shared" si="152"/>
        <v>0.60804999999999998</v>
      </c>
      <c r="BT230" s="52">
        <f t="shared" si="152"/>
        <v>0.60804999999999998</v>
      </c>
      <c r="BU230" s="52">
        <f t="shared" si="152"/>
        <v>0.60804999999999998</v>
      </c>
      <c r="BV230" s="52">
        <f t="shared" si="152"/>
        <v>0.60804999999999998</v>
      </c>
      <c r="BW230" s="52">
        <f t="shared" si="152"/>
        <v>0.60804999999999998</v>
      </c>
      <c r="BX230" s="52">
        <f t="shared" si="152"/>
        <v>0.60804999999999998</v>
      </c>
      <c r="BY230" s="52">
        <f t="shared" si="152"/>
        <v>0.60804999999999998</v>
      </c>
      <c r="BZ230" s="52">
        <f t="shared" si="152"/>
        <v>0.60804999999999998</v>
      </c>
      <c r="CA230" s="52">
        <f t="shared" si="152"/>
        <v>0.60804999999999998</v>
      </c>
      <c r="CB230" s="52">
        <f t="shared" si="152"/>
        <v>0.60804999999999998</v>
      </c>
      <c r="CC230" s="52">
        <f t="shared" si="152"/>
        <v>0.60804999999999998</v>
      </c>
      <c r="CD230" s="52">
        <f t="shared" si="152"/>
        <v>0.60804999999999998</v>
      </c>
      <c r="CE230" s="52">
        <f t="shared" si="152"/>
        <v>0.60804999999999998</v>
      </c>
      <c r="CF230" s="52">
        <f t="shared" si="152"/>
        <v>0.60804999999999998</v>
      </c>
      <c r="CG230" s="52">
        <f t="shared" si="152"/>
        <v>0.60804999999999998</v>
      </c>
      <c r="CH230" s="52">
        <f t="shared" si="152"/>
        <v>0.60804999999999998</v>
      </c>
      <c r="CI230" s="52">
        <f t="shared" si="152"/>
        <v>0.60804999999999998</v>
      </c>
      <c r="CJ230" s="52">
        <f t="shared" si="152"/>
        <v>0.60804999999999998</v>
      </c>
      <c r="CK230" s="52">
        <f t="shared" si="152"/>
        <v>0.60804999999999998</v>
      </c>
      <c r="CL230" s="52">
        <f t="shared" si="152"/>
        <v>0.60804999999999998</v>
      </c>
      <c r="CM230" s="52">
        <f t="shared" si="152"/>
        <v>0.60804999999999998</v>
      </c>
      <c r="CN230" s="52">
        <f t="shared" si="152"/>
        <v>0.60804999999999998</v>
      </c>
      <c r="CO230" s="52">
        <f t="shared" si="152"/>
        <v>0.60804999999999998</v>
      </c>
      <c r="CP230" s="52">
        <f t="shared" si="152"/>
        <v>0.60804999999999998</v>
      </c>
    </row>
    <row r="231" spans="1:94" ht="15" customHeight="1">
      <c r="A231" s="46"/>
      <c r="B231" s="42">
        <f t="shared" si="147"/>
        <v>369</v>
      </c>
      <c r="C231" s="569" t="str">
        <f>IF('Registro Original'!C231 = "", "", 'Registro Original'!C231)</f>
        <v/>
      </c>
      <c r="D231" s="574" t="str">
        <f t="shared" si="148"/>
        <v/>
      </c>
      <c r="E231" s="42">
        <f t="shared" si="149"/>
        <v>365</v>
      </c>
      <c r="F231" s="569" t="str">
        <f>IF('Registro Original'!F231 = "", "", 'Registro Original'!F231)</f>
        <v/>
      </c>
      <c r="G231" s="36" t="str">
        <f t="shared" si="150"/>
        <v/>
      </c>
      <c r="U231" s="602" t="s">
        <v>359</v>
      </c>
      <c r="V231" s="88" t="s">
        <v>360</v>
      </c>
      <c r="W231" s="88" t="s">
        <v>361</v>
      </c>
      <c r="X231" s="88" t="s">
        <v>362</v>
      </c>
      <c r="Y231" s="88" t="s">
        <v>363</v>
      </c>
      <c r="Z231" s="88" t="s">
        <v>364</v>
      </c>
      <c r="AA231" s="603" t="s">
        <v>365</v>
      </c>
      <c r="AB231" s="735" t="s">
        <v>458</v>
      </c>
      <c r="AC231" s="736">
        <f>IF(U232="","",IF(AA232&lt;&gt;0, 6,5))</f>
        <v>6</v>
      </c>
      <c r="AD231" s="50">
        <v>657.4</v>
      </c>
      <c r="AE231" s="51">
        <v>81.581999999999994</v>
      </c>
      <c r="AF231" s="52">
        <f t="shared" si="127"/>
        <v>8.8405652067258395E-2</v>
      </c>
    </row>
    <row r="232" spans="1:94" ht="15" customHeight="1">
      <c r="A232" s="46"/>
      <c r="B232" s="42">
        <f t="shared" si="147"/>
        <v>368</v>
      </c>
      <c r="C232" s="569" t="str">
        <f>IF('Registro Original'!C232 = "", "", 'Registro Original'!C232)</f>
        <v/>
      </c>
      <c r="D232" s="574" t="str">
        <f t="shared" si="148"/>
        <v/>
      </c>
      <c r="E232" s="42">
        <f t="shared" si="149"/>
        <v>364.5</v>
      </c>
      <c r="F232" s="569" t="str">
        <f>IF('Registro Original'!F232 = "", "", 'Registro Original'!F232)</f>
        <v/>
      </c>
      <c r="G232" s="36" t="str">
        <f t="shared" si="150"/>
        <v/>
      </c>
      <c r="U232" s="633">
        <v>-211514258830.00101</v>
      </c>
      <c r="V232" s="612">
        <v>3508674256.8535199</v>
      </c>
      <c r="W232" s="612">
        <v>-24251026.936088901</v>
      </c>
      <c r="X232" s="612">
        <v>89394.514388039504</v>
      </c>
      <c r="Y232" s="612">
        <v>-185.35702728648801</v>
      </c>
      <c r="Z232" s="612">
        <v>0.20497499945675199</v>
      </c>
      <c r="AA232" s="634">
        <v>-9.4444444194152806E-5</v>
      </c>
      <c r="AB232" s="737" t="s">
        <v>459</v>
      </c>
      <c r="AC232" s="732">
        <f>IF(AC231="", "",AC231 +1)</f>
        <v>7</v>
      </c>
      <c r="AD232" s="50">
        <v>657.3</v>
      </c>
      <c r="AE232" s="51">
        <v>81.616</v>
      </c>
      <c r="AF232" s="52">
        <f t="shared" si="127"/>
        <v>8.8224693812888305E-2</v>
      </c>
    </row>
    <row r="233" spans="1:94" ht="15" customHeight="1">
      <c r="A233" s="590" t="s">
        <v>352</v>
      </c>
      <c r="B233" s="42">
        <f t="shared" si="147"/>
        <v>367</v>
      </c>
      <c r="C233" s="569">
        <f>IF('Registro Original'!C233 = "", "", 'Registro Original'!C233)</f>
        <v>0.152</v>
      </c>
      <c r="D233" s="574" t="str">
        <f t="shared" si="148"/>
        <v/>
      </c>
      <c r="E233" s="42">
        <f t="shared" si="149"/>
        <v>364</v>
      </c>
      <c r="F233" s="569">
        <f>IF('Registro Original'!F233 = "", "", 'Registro Original'!F233)</f>
        <v>0.16200000000000001</v>
      </c>
      <c r="G233" s="36" t="str">
        <f t="shared" si="150"/>
        <v/>
      </c>
      <c r="U233" s="606" t="s">
        <v>373</v>
      </c>
      <c r="V233" s="607" t="s">
        <v>369</v>
      </c>
      <c r="W233" s="601" t="s">
        <v>375</v>
      </c>
      <c r="X233" s="601" t="s">
        <v>367</v>
      </c>
      <c r="Y233" s="601" t="s">
        <v>368</v>
      </c>
      <c r="Z233" s="635" t="s">
        <v>370</v>
      </c>
      <c r="AA233" s="636" t="s">
        <v>369</v>
      </c>
      <c r="AB233" s="737" t="s">
        <v>460</v>
      </c>
      <c r="AC233" s="605">
        <f xml:space="preserve"> 1.000000005254</f>
        <v>1.0000000052539999</v>
      </c>
      <c r="AD233" s="50">
        <v>657.2</v>
      </c>
      <c r="AE233" s="51">
        <v>81.614999999999995</v>
      </c>
      <c r="AF233" s="52">
        <f t="shared" si="127"/>
        <v>8.8230015038414239E-2</v>
      </c>
    </row>
    <row r="234" spans="1:94" ht="15" customHeight="1">
      <c r="A234" s="46"/>
      <c r="B234" s="42">
        <f t="shared" si="147"/>
        <v>366</v>
      </c>
      <c r="C234" s="569">
        <f>IF('Registro Original'!C234 = "", "", 'Registro Original'!C234)</f>
        <v>0.187</v>
      </c>
      <c r="D234" s="574" t="str">
        <f t="shared" si="148"/>
        <v/>
      </c>
      <c r="E234" s="42">
        <f t="shared" si="149"/>
        <v>363.5</v>
      </c>
      <c r="F234" s="569">
        <f>IF('Registro Original'!F234 = "", "", 'Registro Original'!F234)</f>
        <v>0.20200000000000001</v>
      </c>
      <c r="G234" s="36" t="str">
        <f t="shared" si="150"/>
        <v/>
      </c>
      <c r="U234" s="608">
        <v>1</v>
      </c>
      <c r="V234" s="624">
        <v>361.55</v>
      </c>
      <c r="W234" s="604">
        <f xml:space="preserve"> $U$232 + $V$232*(V234) + $W$232*(V234^2) + $X$232*(V234^3) + $Y$232*(V234^4) + $Z$232*(V234^5) + $AA$232*(V234^6)</f>
        <v>0.40740966796875</v>
      </c>
      <c r="X234" s="604">
        <f xml:space="preserve"> ($V$232 +  2*$W$232*(V234) +  3*$X$232*(V234^2) + 4*$Y$232*(V234^3) + 5*$Z$232*(V234^4) + 6*$AA$232*(V234^5))</f>
        <v>2.129364013671875E-2</v>
      </c>
      <c r="Y234" s="617">
        <f xml:space="preserve"> (2*$W$232 + 6*$X$232*(V234) + 12*$Y$232*(V234^2) + 20*$Z$232*(V234^3) + 30*$AA$232*(V234^4))</f>
        <v>-6.2942817807197571E-2</v>
      </c>
      <c r="Z234" s="605">
        <f>V234 - (X234/Y234)</f>
        <v>361.88830134840714</v>
      </c>
      <c r="AA234" s="638">
        <v>361.81357523459099</v>
      </c>
      <c r="AB234" s="738" t="s">
        <v>461</v>
      </c>
      <c r="AC234" s="605">
        <f>IF(AC233="",  "", SQRT(AC233)/(AC232))</f>
        <v>0.14285714323242857</v>
      </c>
      <c r="AD234" s="50">
        <v>657.1</v>
      </c>
      <c r="AE234" s="51">
        <v>81.656999999999996</v>
      </c>
      <c r="AF234" s="52">
        <f t="shared" si="127"/>
        <v>8.8006579683395925E-2</v>
      </c>
    </row>
    <row r="235" spans="1:94" ht="15" customHeight="1">
      <c r="A235" s="46"/>
      <c r="B235" s="42">
        <f t="shared" si="147"/>
        <v>365</v>
      </c>
      <c r="C235" s="569">
        <f>IF('Registro Original'!C235 = "", "", 'Registro Original'!C235)</f>
        <v>0.23799999999999999</v>
      </c>
      <c r="D235" s="574" t="str">
        <f t="shared" si="148"/>
        <v/>
      </c>
      <c r="E235" s="42">
        <f t="shared" si="149"/>
        <v>363</v>
      </c>
      <c r="F235" s="569">
        <f>IF('Registro Original'!F235 = "", "", 'Registro Original'!F235)</f>
        <v>0.25700000000000001</v>
      </c>
      <c r="G235" s="36" t="str">
        <f t="shared" si="150"/>
        <v/>
      </c>
      <c r="U235" s="608">
        <v>2</v>
      </c>
      <c r="V235" s="610">
        <f>Z234</f>
        <v>361.88830134840714</v>
      </c>
      <c r="W235" s="604">
        <f t="shared" ref="W235:W240" si="153" xml:space="preserve"> $U$232 + $V$232*(V235) + $W$232*(V235^2) + $X$232*(V235^3) + $Y$232*(V235^4) + $Z$232*(V235^5) + $AA$232*(V235^6)</f>
        <v>0.410064697265625</v>
      </c>
      <c r="X235" s="604">
        <f t="shared" ref="X235:X240" si="154" xml:space="preserve"> ($V$232 +  2*$W$232*(V235) +  3*$X$232*(V235^2) + 4*$Y$232*(V235^3) + 5*$Z$232*(V235^4) + 6*$AA$232*(V235^5))</f>
        <v>-2.0503997802734375E-4</v>
      </c>
      <c r="Y235" s="617">
        <f t="shared" ref="Y235:Y240" si="155" xml:space="preserve"> (2*$W$232 + 6*$X$232*(V235) + 12*$Y$232*(V235^2) + 20*$Z$232*(V235^3) + 30*$AA$232*(V235^4))</f>
        <v>-6.3146829605102539E-2</v>
      </c>
      <c r="Z235" s="605">
        <f t="shared" ref="Z235:Z240" si="156">V235 - (X235/Y235)</f>
        <v>361.88505431321454</v>
      </c>
      <c r="AA235" s="620" t="s">
        <v>371</v>
      </c>
      <c r="AB235" s="738" t="s">
        <v>463</v>
      </c>
      <c r="AC235" s="732">
        <f>COUNT(U232,U242)</f>
        <v>2</v>
      </c>
      <c r="AD235" s="50">
        <v>657</v>
      </c>
      <c r="AE235" s="51">
        <v>81.736999999999995</v>
      </c>
      <c r="AF235" s="52">
        <f t="shared" si="127"/>
        <v>8.7581306278882651E-2</v>
      </c>
    </row>
    <row r="236" spans="1:94" ht="15" customHeight="1">
      <c r="A236" s="46"/>
      <c r="B236" s="42">
        <f t="shared" si="147"/>
        <v>364</v>
      </c>
      <c r="C236" s="569">
        <f>IF('Registro Original'!C236 = "", "", 'Registro Original'!C236)</f>
        <v>0.31900000000000001</v>
      </c>
      <c r="D236" s="574" t="str">
        <f t="shared" si="148"/>
        <v/>
      </c>
      <c r="E236" s="42">
        <f t="shared" si="149"/>
        <v>362.5</v>
      </c>
      <c r="F236" s="569">
        <f>IF('Registro Original'!F236 = "", "", 'Registro Original'!F236)</f>
        <v>0.34</v>
      </c>
      <c r="G236" s="36" t="str">
        <f t="shared" si="150"/>
        <v/>
      </c>
      <c r="U236" s="608">
        <v>3</v>
      </c>
      <c r="V236" s="610">
        <f t="shared" ref="V236:V240" si="157">Z235</f>
        <v>361.88505431321454</v>
      </c>
      <c r="W236" s="604">
        <f t="shared" si="153"/>
        <v>0.411712646484375</v>
      </c>
      <c r="X236" s="604">
        <f t="shared" si="154"/>
        <v>9.5367431640625E-7</v>
      </c>
      <c r="Y236" s="617">
        <f t="shared" si="155"/>
        <v>-6.3172973692417145E-2</v>
      </c>
      <c r="Z236" s="605">
        <f t="shared" si="156"/>
        <v>361.88506940945365</v>
      </c>
      <c r="AA236" s="637">
        <f xml:space="preserve"> ($V$232 +  2*$W$232*(AA234) +  3*$X$232*(AA234^2) + 4*$Y$232*(AA234^3) + 5*$Z$232*(AA234^4) + 6*$AA$232*(AA234^5))</f>
        <v>4.5366287231445313E-3</v>
      </c>
      <c r="AB236" s="739" t="s">
        <v>462</v>
      </c>
      <c r="AC236" s="634">
        <f>IF(AC234="", "", AC234/SQRT(AC235))</f>
        <v>0.10101525472058814</v>
      </c>
      <c r="AD236" s="50">
        <v>656.9</v>
      </c>
      <c r="AE236" s="51">
        <v>81.772000000000006</v>
      </c>
      <c r="AF236" s="52">
        <f t="shared" si="127"/>
        <v>8.7395380035082307E-2</v>
      </c>
    </row>
    <row r="237" spans="1:94" ht="15" customHeight="1">
      <c r="A237" s="65"/>
      <c r="B237" s="42">
        <f t="shared" si="147"/>
        <v>363</v>
      </c>
      <c r="C237" s="569">
        <f>IF('Registro Original'!C237 = "", "", 'Registro Original'!C237)</f>
        <v>0.38300000000000001</v>
      </c>
      <c r="D237" s="574" t="str">
        <f t="shared" si="148"/>
        <v/>
      </c>
      <c r="E237" s="42">
        <f t="shared" si="149"/>
        <v>362</v>
      </c>
      <c r="F237" s="569">
        <f>IF('Registro Original'!F237 = "", "", 'Registro Original'!F237)</f>
        <v>0.39800000000000002</v>
      </c>
      <c r="G237" s="36" t="str">
        <f t="shared" si="150"/>
        <v/>
      </c>
      <c r="U237" s="608">
        <v>4</v>
      </c>
      <c r="V237" s="610">
        <f t="shared" si="157"/>
        <v>361.88506940945365</v>
      </c>
      <c r="W237" s="604">
        <f t="shared" si="153"/>
        <v>0.41064453125</v>
      </c>
      <c r="X237" s="604">
        <f t="shared" si="154"/>
        <v>1.9073486328125E-6</v>
      </c>
      <c r="Y237" s="617">
        <f t="shared" si="155"/>
        <v>-6.3172914087772369E-2</v>
      </c>
      <c r="Z237" s="605">
        <f t="shared" si="156"/>
        <v>361.88509960196035</v>
      </c>
      <c r="AA237" s="621"/>
      <c r="AD237" s="50">
        <v>656.8</v>
      </c>
      <c r="AE237" s="51">
        <v>81.819000000000003</v>
      </c>
      <c r="AF237" s="52">
        <f t="shared" si="127"/>
        <v>8.7145832795795727E-2</v>
      </c>
    </row>
    <row r="238" spans="1:94" ht="15" customHeight="1">
      <c r="A238" s="59" t="s">
        <v>344</v>
      </c>
      <c r="B238" s="42">
        <f>IF(ISNUMBER($G$45),B239+$G$45,"")</f>
        <v>362</v>
      </c>
      <c r="C238" s="569">
        <f>IF('Registro Original'!C238 = "", "", 'Registro Original'!C238)</f>
        <v>0.41699999999999998</v>
      </c>
      <c r="D238" s="574">
        <f t="shared" si="148"/>
        <v>0.41699999999999998</v>
      </c>
      <c r="E238" s="42">
        <f>IF(ISNUMBER($G$45),E239+$K$45,"")</f>
        <v>361.5</v>
      </c>
      <c r="F238" s="569">
        <f>IF('Registro Original'!F238 = "", "", 'Registro Original'!F238)</f>
        <v>0.41799999999999998</v>
      </c>
      <c r="G238" s="36">
        <f t="shared" si="150"/>
        <v>0.41799999999999998</v>
      </c>
      <c r="U238" s="608">
        <v>5</v>
      </c>
      <c r="V238" s="610">
        <f t="shared" si="157"/>
        <v>361.88509960196035</v>
      </c>
      <c r="W238" s="604">
        <f t="shared" si="153"/>
        <v>0.41119384765625</v>
      </c>
      <c r="X238" s="604">
        <f t="shared" si="154"/>
        <v>0</v>
      </c>
      <c r="Y238" s="617">
        <f t="shared" si="155"/>
        <v>-6.3172675669193268E-2</v>
      </c>
      <c r="Z238" s="605">
        <f t="shared" si="156"/>
        <v>361.88509960196035</v>
      </c>
      <c r="AA238" s="621"/>
      <c r="AD238" s="50">
        <v>656.7</v>
      </c>
      <c r="AE238" s="51">
        <v>81.813999999999993</v>
      </c>
      <c r="AF238" s="52">
        <f t="shared" si="127"/>
        <v>8.7172373559702657E-2</v>
      </c>
    </row>
    <row r="239" spans="1:94" ht="15" customHeight="1">
      <c r="A239" s="45">
        <v>360.84</v>
      </c>
      <c r="B239" s="121">
        <v>361</v>
      </c>
      <c r="C239" s="569">
        <f>IF('Registro Original'!C239 = "", "", 'Registro Original'!C239)</f>
        <v>0.39300000000000002</v>
      </c>
      <c r="D239" s="574" t="str">
        <f>IF(C239&lt;&gt;"",IF(C239 = LARGE($C$227:$C$251,1), C239, ""), "")</f>
        <v/>
      </c>
      <c r="E239" s="121">
        <v>361</v>
      </c>
      <c r="F239" s="569">
        <f>IF('Registro Original'!F239 = "", "", 'Registro Original'!F239)</f>
        <v>0.375</v>
      </c>
      <c r="G239" s="36" t="str">
        <f t="shared" si="150"/>
        <v/>
      </c>
      <c r="U239" s="608">
        <v>6</v>
      </c>
      <c r="V239" s="610">
        <f t="shared" si="157"/>
        <v>361.88509960196035</v>
      </c>
      <c r="W239" s="604">
        <f t="shared" si="153"/>
        <v>0.41119384765625</v>
      </c>
      <c r="X239" s="604">
        <f t="shared" si="154"/>
        <v>0</v>
      </c>
      <c r="Y239" s="617">
        <f t="shared" si="155"/>
        <v>-6.3172675669193268E-2</v>
      </c>
      <c r="Z239" s="605">
        <f t="shared" si="156"/>
        <v>361.88509960196035</v>
      </c>
      <c r="AA239" s="621"/>
      <c r="AD239" s="50">
        <v>656.6</v>
      </c>
      <c r="AE239" s="51">
        <v>81.813000000000002</v>
      </c>
      <c r="AF239" s="52">
        <f t="shared" si="127"/>
        <v>8.7177681907125854E-2</v>
      </c>
    </row>
    <row r="240" spans="1:94" ht="15" customHeight="1" thickBot="1">
      <c r="A240" s="65"/>
      <c r="B240" s="42">
        <f>IF(ISNUMBER($G$45),B239-$G$45,"")</f>
        <v>360</v>
      </c>
      <c r="C240" s="569">
        <f>IF('Registro Original'!C240 = "", "", 'Registro Original'!C240)</f>
        <v>0.32100000000000001</v>
      </c>
      <c r="D240" s="574" t="str">
        <f t="shared" ref="D240:D251" si="158">IF(C240&lt;&gt;"",IF(C240 = LARGE($C$227:$C$251,1), C240, ""), "")</f>
        <v/>
      </c>
      <c r="E240" s="42">
        <f>IF(ISNUMBER($G$45),E239-$K$45,"")</f>
        <v>360.5</v>
      </c>
      <c r="F240" s="569">
        <f>IF('Registro Original'!F240 = "", "", 'Registro Original'!F240)</f>
        <v>0.29499999999999998</v>
      </c>
      <c r="G240" s="36" t="str">
        <f t="shared" si="150"/>
        <v/>
      </c>
      <c r="U240" s="611">
        <v>7</v>
      </c>
      <c r="V240" s="657">
        <f t="shared" si="157"/>
        <v>361.88509960196035</v>
      </c>
      <c r="W240" s="612">
        <f t="shared" si="153"/>
        <v>0.41119384765625</v>
      </c>
      <c r="X240" s="612">
        <f t="shared" si="154"/>
        <v>0</v>
      </c>
      <c r="Y240" s="618">
        <f t="shared" si="155"/>
        <v>-6.3172675669193268E-2</v>
      </c>
      <c r="Z240" s="634">
        <f t="shared" si="156"/>
        <v>361.88509960196035</v>
      </c>
      <c r="AA240" s="622"/>
      <c r="AD240" s="50">
        <v>656.5</v>
      </c>
      <c r="AE240" s="51">
        <v>81.802999999999997</v>
      </c>
      <c r="AF240" s="52">
        <f t="shared" si="127"/>
        <v>8.7230768950256651E-2</v>
      </c>
    </row>
    <row r="241" spans="1:94" ht="15" customHeight="1">
      <c r="A241" s="65"/>
      <c r="B241" s="42">
        <f t="shared" ref="B241:B251" si="159">IF(ISNUMBER($G$45),B240-$G$45,"")</f>
        <v>359</v>
      </c>
      <c r="C241" s="569">
        <f>IF('Registro Original'!C241 = "", "", 'Registro Original'!C241)</f>
        <v>0.23400000000000001</v>
      </c>
      <c r="D241" s="574" t="str">
        <f t="shared" si="158"/>
        <v/>
      </c>
      <c r="E241" s="42">
        <f t="shared" ref="E241:E251" si="160">IF(ISNUMBER($G$45),E240-$K$45,"")</f>
        <v>360</v>
      </c>
      <c r="F241" s="569">
        <f>IF('Registro Original'!F241 = "", "", 'Registro Original'!F241)</f>
        <v>0.21</v>
      </c>
      <c r="G241" s="36" t="str">
        <f t="shared" si="150"/>
        <v/>
      </c>
      <c r="U241" s="602" t="s">
        <v>359</v>
      </c>
      <c r="V241" s="88" t="s">
        <v>360</v>
      </c>
      <c r="W241" s="88" t="s">
        <v>361</v>
      </c>
      <c r="X241" s="88" t="s">
        <v>362</v>
      </c>
      <c r="Y241" s="88" t="s">
        <v>363</v>
      </c>
      <c r="Z241" s="88" t="s">
        <v>364</v>
      </c>
      <c r="AA241" s="603" t="s">
        <v>365</v>
      </c>
      <c r="AB241" s="735" t="s">
        <v>458</v>
      </c>
      <c r="AC241" s="736">
        <f>IF(U242="","",IF(AA242&lt;&gt;0, 6,5))</f>
        <v>6</v>
      </c>
      <c r="AD241" s="50">
        <v>656.4</v>
      </c>
      <c r="AE241" s="51">
        <v>81.831000000000003</v>
      </c>
      <c r="AF241" s="52">
        <f t="shared" si="127"/>
        <v>8.7082141579270467E-2</v>
      </c>
    </row>
    <row r="242" spans="1:94" ht="15" customHeight="1">
      <c r="A242" s="65"/>
      <c r="B242" s="42">
        <f t="shared" si="159"/>
        <v>358</v>
      </c>
      <c r="C242" s="569">
        <f>IF('Registro Original'!C242 = "", "", 'Registro Original'!C242)</f>
        <v>0.16300000000000001</v>
      </c>
      <c r="D242" s="574" t="str">
        <f t="shared" si="158"/>
        <v/>
      </c>
      <c r="E242" s="42">
        <f t="shared" si="160"/>
        <v>359.5</v>
      </c>
      <c r="F242" s="569">
        <f>IF('Registro Original'!F242 = "", "", 'Registro Original'!F242)</f>
        <v>0.14599999999999999</v>
      </c>
      <c r="G242" s="36" t="str">
        <f t="shared" si="150"/>
        <v/>
      </c>
      <c r="U242" s="633">
        <v>-337037964232.03601</v>
      </c>
      <c r="V242" s="612">
        <v>5587825144.0941696</v>
      </c>
      <c r="W242" s="612">
        <v>-38600353.6580007</v>
      </c>
      <c r="X242" s="612">
        <v>142211.33794560999</v>
      </c>
      <c r="Y242" s="612">
        <v>-294.71037428318903</v>
      </c>
      <c r="Z242" s="612">
        <v>0.32572499920811998</v>
      </c>
      <c r="AA242" s="634">
        <v>-1.4999999963549699E-4</v>
      </c>
      <c r="AB242" s="737" t="s">
        <v>459</v>
      </c>
      <c r="AC242" s="732">
        <f>IF(AC241="", "",AC241 +1)</f>
        <v>7</v>
      </c>
      <c r="AD242" s="50">
        <v>656.3</v>
      </c>
      <c r="AE242" s="51">
        <v>81.766999999999996</v>
      </c>
      <c r="AF242" s="52">
        <f t="shared" si="127"/>
        <v>8.7421936054260518E-2</v>
      </c>
    </row>
    <row r="243" spans="1:94" ht="15" customHeight="1">
      <c r="A243" s="65"/>
      <c r="B243" s="42">
        <f t="shared" si="159"/>
        <v>357</v>
      </c>
      <c r="C243" s="569">
        <f>IF('Registro Original'!C243 = "", "", 'Registro Original'!C243)</f>
        <v>0.114</v>
      </c>
      <c r="D243" s="574" t="str">
        <f t="shared" si="158"/>
        <v/>
      </c>
      <c r="E243" s="42">
        <f t="shared" si="160"/>
        <v>359</v>
      </c>
      <c r="F243" s="569">
        <f>IF('Registro Original'!F243 = "", "", 'Registro Original'!F243)</f>
        <v>0.107</v>
      </c>
      <c r="G243" s="36" t="str">
        <f t="shared" si="150"/>
        <v/>
      </c>
      <c r="U243" s="606" t="s">
        <v>373</v>
      </c>
      <c r="V243" s="607" t="s">
        <v>369</v>
      </c>
      <c r="W243" s="601" t="s">
        <v>375</v>
      </c>
      <c r="X243" s="601" t="s">
        <v>367</v>
      </c>
      <c r="Y243" s="601" t="s">
        <v>368</v>
      </c>
      <c r="Z243" s="635" t="s">
        <v>370</v>
      </c>
      <c r="AA243" s="636" t="s">
        <v>369</v>
      </c>
      <c r="AB243" s="737" t="s">
        <v>460</v>
      </c>
      <c r="AC243" s="605">
        <f xml:space="preserve"> 1.00000005296881</f>
        <v>1.00000005296881</v>
      </c>
      <c r="AD243" s="50">
        <v>656.2</v>
      </c>
      <c r="AE243" s="51">
        <v>81.736999999999995</v>
      </c>
      <c r="AF243" s="52">
        <f t="shared" si="127"/>
        <v>8.7581306278882651E-2</v>
      </c>
    </row>
    <row r="244" spans="1:94" ht="15" customHeight="1">
      <c r="A244" s="65"/>
      <c r="B244" s="42">
        <f t="shared" si="159"/>
        <v>356</v>
      </c>
      <c r="C244" s="569">
        <f>IF('Registro Original'!C244 = "", "", 'Registro Original'!C244)</f>
        <v>9.5000000000000001E-2</v>
      </c>
      <c r="D244" s="574" t="str">
        <f t="shared" si="158"/>
        <v/>
      </c>
      <c r="E244" s="42">
        <f t="shared" si="160"/>
        <v>358.5</v>
      </c>
      <c r="F244" s="569">
        <f>IF('Registro Original'!F244 = "", "", 'Registro Original'!F244)</f>
        <v>9.0999999999999998E-2</v>
      </c>
      <c r="G244" s="36" t="str">
        <f t="shared" si="150"/>
        <v/>
      </c>
      <c r="U244" s="608">
        <v>1</v>
      </c>
      <c r="V244" s="642">
        <v>362.4</v>
      </c>
      <c r="W244" s="604">
        <f xml:space="preserve"> $U$242 + $V$242*(V244) + $W$242*(V244^2) + $X$242*(V244^3) + $Y$242*(V244^4) + $Z$242*(V244^5) + $AA$242*(V244^6)</f>
        <v>0.39501953125</v>
      </c>
      <c r="X244" s="604">
        <f xml:space="preserve"> ($V$242 +  2*$W$242*(V244) +  3*$X$242*(V244^2) + 4*$Y$242*(V244^3) + 5*$Z$242*(V244^4) + 6*$AA$242*(V244^5))</f>
        <v>-1.5414237976074219E-2</v>
      </c>
      <c r="Y244" s="617">
        <f xml:space="preserve"> (2*$W$242 + 6*$X$242*(V244) + 12*$Y$242*(V244^2) + 20*$Z$242*(V244^3) + 30*$AA$242*(V244^4))</f>
        <v>-6.2442183494567871E-2</v>
      </c>
      <c r="Z244" s="605">
        <f>V244 - (X244/Y244)</f>
        <v>362.15314383460958</v>
      </c>
      <c r="AA244" s="639">
        <v>362.16339396106451</v>
      </c>
      <c r="AB244" s="738" t="s">
        <v>461</v>
      </c>
      <c r="AC244" s="605">
        <f>IF(AC243="",  "", SQRT(AC243)/(AC242))</f>
        <v>0.14285714664062923</v>
      </c>
      <c r="AD244" s="50">
        <v>656.1</v>
      </c>
      <c r="AE244" s="51">
        <v>81.677999999999997</v>
      </c>
      <c r="AF244" s="52">
        <f t="shared" si="127"/>
        <v>8.7894905098399215E-2</v>
      </c>
    </row>
    <row r="245" spans="1:94" ht="15" customHeight="1">
      <c r="A245" s="590" t="s">
        <v>351</v>
      </c>
      <c r="B245" s="42">
        <f t="shared" si="159"/>
        <v>355</v>
      </c>
      <c r="C245" s="569">
        <f>IF('Registro Original'!C245 = "", "", 'Registro Original'!C245)</f>
        <v>8.5000000000000006E-2</v>
      </c>
      <c r="D245" s="574" t="str">
        <f t="shared" si="158"/>
        <v/>
      </c>
      <c r="E245" s="42">
        <f t="shared" si="160"/>
        <v>358</v>
      </c>
      <c r="F245" s="569">
        <f>IF('Registro Original'!F245 = "", "", 'Registro Original'!F245)</f>
        <v>8.3000000000000004E-2</v>
      </c>
      <c r="G245" s="36" t="str">
        <f t="shared" si="150"/>
        <v/>
      </c>
      <c r="U245" s="608">
        <v>2</v>
      </c>
      <c r="V245" s="610">
        <f>Z244</f>
        <v>362.15314383460958</v>
      </c>
      <c r="W245" s="604">
        <f xml:space="preserve"> $U$242 + $V$242*(V245) + $W$242*(V245^2) + $X$242*(V245^3) + $Y$242*(V245^4) + $Z$242*(V245^5) + $AA$242*(V245^6)</f>
        <v>0.39715576171875</v>
      </c>
      <c r="X245" s="604">
        <f xml:space="preserve"> ($V$242 +  2*$W$242*(V245) +  3*$X$242*(V245^2) + 4*$Y$242*(V245^3) + 5*$Z$242*(V245^4) + 6*$AA$242*(V245^5))</f>
        <v>6.7996978759765625E-4</v>
      </c>
      <c r="Y245" s="617">
        <f xml:space="preserve"> (2*$W$242 + 6*$X$242*(V245) + 12*$Y$242*(V245^2) + 20*$Z$242*(V245^3) + 30*$AA$242*(V245^4))</f>
        <v>-6.7381680011749268E-2</v>
      </c>
      <c r="Z245" s="605">
        <f>V245 - (X245/Y245)</f>
        <v>362.16323515004547</v>
      </c>
      <c r="AA245" s="620" t="s">
        <v>371</v>
      </c>
      <c r="AB245" s="738" t="s">
        <v>463</v>
      </c>
      <c r="AC245" s="732">
        <f>COUNT(U232,U242)</f>
        <v>2</v>
      </c>
      <c r="AD245" s="50">
        <v>656</v>
      </c>
      <c r="AE245" s="51">
        <v>81.656000000000006</v>
      </c>
      <c r="AF245" s="52">
        <f t="shared" si="127"/>
        <v>8.8011898237116776E-2</v>
      </c>
    </row>
    <row r="246" spans="1:94" ht="15" customHeight="1">
      <c r="A246" s="65"/>
      <c r="B246" s="42">
        <f t="shared" si="159"/>
        <v>354</v>
      </c>
      <c r="C246" s="569" t="str">
        <f>IF('Registro Original'!C246 = "", "", 'Registro Original'!C246)</f>
        <v/>
      </c>
      <c r="D246" s="574" t="str">
        <f t="shared" si="158"/>
        <v/>
      </c>
      <c r="E246" s="42">
        <f t="shared" si="160"/>
        <v>357.5</v>
      </c>
      <c r="F246" s="569">
        <f>IF('Registro Original'!F246 = "", "", 'Registro Original'!F246)</f>
        <v>0.08</v>
      </c>
      <c r="G246" s="36" t="str">
        <f t="shared" si="150"/>
        <v/>
      </c>
      <c r="U246" s="608">
        <v>3</v>
      </c>
      <c r="V246" s="610">
        <f t="shared" ref="V246:V250" si="161">Z245</f>
        <v>362.16323515004547</v>
      </c>
      <c r="W246" s="604">
        <f t="shared" ref="W246:W250" si="162" xml:space="preserve"> $U$242 + $V$242*(V246) + $W$242*(V246^2) + $X$242*(V246^3) + $Y$242*(V246^4) + $Z$242*(V246^5) + $AA$242*(V246^6)</f>
        <v>0.39697265625</v>
      </c>
      <c r="X246" s="604">
        <f t="shared" ref="X246:X250" si="163" xml:space="preserve"> ($V$242 +  2*$W$242*(V246) +  3*$X$242*(V246^2) + 4*$Y$242*(V246^3) + 5*$Z$242*(V246^4) + 6*$AA$242*(V246^5))</f>
        <v>6.67572021484375E-6</v>
      </c>
      <c r="Y246" s="617">
        <f t="shared" ref="Y246:Y250" si="164" xml:space="preserve"> (2*$W$242 + 6*$X$242*(V246) + 12*$Y$242*(V246^2) + 20*$Z$242*(V246^3) + 30*$AA$242*(V246^4))</f>
        <v>-6.725582480430603E-2</v>
      </c>
      <c r="Z246" s="605">
        <f t="shared" ref="Z246:Z250" si="165">V246 - (X246/Y246)</f>
        <v>362.16333440866333</v>
      </c>
      <c r="AA246" s="637">
        <f xml:space="preserve"> ($V$242 +  2*$W$242*(AA244) +  3*$X$242*(AA244^2) + 4*$Y$242*(AA244^3) + 5*$Z$242*(AA244^4) + 6*$AA$242*(AA244^5))</f>
        <v>0</v>
      </c>
      <c r="AB246" s="739" t="s">
        <v>462</v>
      </c>
      <c r="AC246" s="634">
        <f>IF(AC244="", "", AC244/SQRT(AC245))</f>
        <v>0.10101525713054994</v>
      </c>
      <c r="AD246" s="50">
        <v>655.9</v>
      </c>
      <c r="AE246" s="51">
        <v>81.635000000000005</v>
      </c>
      <c r="AF246" s="52">
        <f t="shared" si="127"/>
        <v>8.8123602913678864E-2</v>
      </c>
    </row>
    <row r="247" spans="1:94" ht="15" customHeight="1">
      <c r="A247" s="65"/>
      <c r="B247" s="42">
        <f t="shared" si="159"/>
        <v>353</v>
      </c>
      <c r="C247" s="569" t="str">
        <f>IF('Registro Original'!C247 = "", "", 'Registro Original'!C247)</f>
        <v/>
      </c>
      <c r="D247" s="574" t="str">
        <f t="shared" si="158"/>
        <v/>
      </c>
      <c r="E247" s="42">
        <f t="shared" si="160"/>
        <v>357</v>
      </c>
      <c r="F247" s="569">
        <f>IF('Registro Original'!F247 = "", "", 'Registro Original'!F247)</f>
        <v>7.9000000000000001E-2</v>
      </c>
      <c r="G247" s="36" t="str">
        <f t="shared" si="150"/>
        <v/>
      </c>
      <c r="U247" s="608">
        <v>4</v>
      </c>
      <c r="V247" s="610">
        <f t="shared" si="161"/>
        <v>362.16333440866333</v>
      </c>
      <c r="W247" s="604">
        <f t="shared" si="162"/>
        <v>0.396484375</v>
      </c>
      <c r="X247" s="604">
        <f t="shared" si="163"/>
        <v>0</v>
      </c>
      <c r="Y247" s="617">
        <f t="shared" si="164"/>
        <v>-6.7254513502120972E-2</v>
      </c>
      <c r="Z247" s="605">
        <f t="shared" si="165"/>
        <v>362.16333440866333</v>
      </c>
      <c r="AA247" s="621"/>
      <c r="AD247" s="50">
        <v>655.8</v>
      </c>
      <c r="AE247" s="51">
        <v>81.606999999999999</v>
      </c>
      <c r="AF247" s="52">
        <f t="shared" si="127"/>
        <v>8.8272587189938009E-2</v>
      </c>
    </row>
    <row r="248" spans="1:94" ht="15" customHeight="1">
      <c r="A248" s="65"/>
      <c r="B248" s="42">
        <f t="shared" si="159"/>
        <v>352</v>
      </c>
      <c r="C248" s="569" t="str">
        <f>IF('Registro Original'!C248 = "", "", 'Registro Original'!C248)</f>
        <v/>
      </c>
      <c r="D248" s="574" t="str">
        <f t="shared" si="158"/>
        <v/>
      </c>
      <c r="E248" s="42">
        <f t="shared" si="160"/>
        <v>356.5</v>
      </c>
      <c r="F248" s="569">
        <f>IF('Registro Original'!F248 = "", "", 'Registro Original'!F248)</f>
        <v>8.1000000000000003E-2</v>
      </c>
      <c r="G248" s="36" t="str">
        <f t="shared" si="150"/>
        <v/>
      </c>
      <c r="U248" s="608">
        <v>5</v>
      </c>
      <c r="V248" s="610">
        <f t="shared" si="161"/>
        <v>362.16333440866333</v>
      </c>
      <c r="W248" s="604">
        <f t="shared" si="162"/>
        <v>0.396484375</v>
      </c>
      <c r="X248" s="604">
        <f t="shared" si="163"/>
        <v>0</v>
      </c>
      <c r="Y248" s="617">
        <f t="shared" si="164"/>
        <v>-6.7254513502120972E-2</v>
      </c>
      <c r="Z248" s="605">
        <f t="shared" si="165"/>
        <v>362.16333440866333</v>
      </c>
      <c r="AA248" s="621"/>
      <c r="AD248" s="50">
        <v>655.7</v>
      </c>
      <c r="AE248" s="51">
        <v>81.587000000000003</v>
      </c>
      <c r="AF248" s="52">
        <f t="shared" si="127"/>
        <v>8.8379035829980537E-2</v>
      </c>
    </row>
    <row r="249" spans="1:94" ht="15" customHeight="1">
      <c r="A249" s="65"/>
      <c r="B249" s="42">
        <f t="shared" si="159"/>
        <v>351</v>
      </c>
      <c r="C249" s="569" t="str">
        <f>IF('Registro Original'!C249 = "", "", 'Registro Original'!C249)</f>
        <v/>
      </c>
      <c r="D249" s="574" t="str">
        <f t="shared" si="158"/>
        <v/>
      </c>
      <c r="E249" s="42">
        <f t="shared" si="160"/>
        <v>356</v>
      </c>
      <c r="F249" s="569" t="str">
        <f>IF('Registro Original'!F249 = "", "", 'Registro Original'!F249)</f>
        <v/>
      </c>
      <c r="G249" s="36" t="str">
        <f t="shared" si="150"/>
        <v/>
      </c>
      <c r="U249" s="608">
        <v>6</v>
      </c>
      <c r="V249" s="610">
        <f t="shared" si="161"/>
        <v>362.16333440866333</v>
      </c>
      <c r="W249" s="604">
        <f t="shared" si="162"/>
        <v>0.396484375</v>
      </c>
      <c r="X249" s="604">
        <f t="shared" si="163"/>
        <v>0</v>
      </c>
      <c r="Y249" s="617">
        <f t="shared" si="164"/>
        <v>-6.7254513502120972E-2</v>
      </c>
      <c r="Z249" s="605">
        <f t="shared" si="165"/>
        <v>362.16333440866333</v>
      </c>
      <c r="AA249" s="621"/>
      <c r="AD249" s="50">
        <v>655.6</v>
      </c>
      <c r="AE249" s="51">
        <v>81.528000000000006</v>
      </c>
      <c r="AF249" s="52">
        <f t="shared" si="127"/>
        <v>8.8693211418366016E-2</v>
      </c>
    </row>
    <row r="250" spans="1:94" ht="15" customHeight="1">
      <c r="A250" s="65"/>
      <c r="B250" s="42">
        <f t="shared" si="159"/>
        <v>350</v>
      </c>
      <c r="C250" s="569" t="str">
        <f>IF('Registro Original'!C250 = "", "", 'Registro Original'!C250)</f>
        <v/>
      </c>
      <c r="D250" s="574" t="str">
        <f t="shared" si="158"/>
        <v/>
      </c>
      <c r="E250" s="42">
        <f t="shared" si="160"/>
        <v>355.5</v>
      </c>
      <c r="F250" s="569" t="str">
        <f>IF('Registro Original'!F250 = "", "", 'Registro Original'!F250)</f>
        <v/>
      </c>
      <c r="G250" s="36" t="str">
        <f t="shared" si="150"/>
        <v/>
      </c>
      <c r="U250" s="611">
        <v>7</v>
      </c>
      <c r="V250" s="658">
        <f t="shared" si="161"/>
        <v>362.16333440866333</v>
      </c>
      <c r="W250" s="612">
        <f t="shared" si="162"/>
        <v>0.396484375</v>
      </c>
      <c r="X250" s="612">
        <f t="shared" si="163"/>
        <v>0</v>
      </c>
      <c r="Y250" s="618">
        <f t="shared" si="164"/>
        <v>-6.7254513502120972E-2</v>
      </c>
      <c r="Z250" s="634">
        <f t="shared" si="165"/>
        <v>362.16333440866333</v>
      </c>
      <c r="AA250" s="622"/>
      <c r="AD250" s="50">
        <v>655.5</v>
      </c>
      <c r="AE250" s="51">
        <v>81.498999999999995</v>
      </c>
      <c r="AF250" s="52">
        <f t="shared" si="127"/>
        <v>8.8847720059364602E-2</v>
      </c>
    </row>
    <row r="251" spans="1:94" ht="15" customHeight="1" thickBot="1">
      <c r="A251" s="43"/>
      <c r="B251" s="47">
        <f t="shared" si="159"/>
        <v>349</v>
      </c>
      <c r="C251" s="570" t="str">
        <f>IF('Registro Original'!C251 = "", "", 'Registro Original'!C251)</f>
        <v/>
      </c>
      <c r="D251" s="575" t="str">
        <f t="shared" si="158"/>
        <v/>
      </c>
      <c r="E251" s="47">
        <f t="shared" si="160"/>
        <v>355</v>
      </c>
      <c r="F251" s="570" t="str">
        <f>IF('Registro Original'!F251 = "", "", 'Registro Original'!F251)</f>
        <v/>
      </c>
      <c r="G251" s="571" t="str">
        <f t="shared" si="150"/>
        <v/>
      </c>
      <c r="AD251" s="50">
        <v>655.4</v>
      </c>
      <c r="AE251" s="51">
        <v>81.430999999999997</v>
      </c>
      <c r="AF251" s="52">
        <f t="shared" si="127"/>
        <v>8.9210231892472319E-2</v>
      </c>
    </row>
    <row r="252" spans="1:94" ht="15.75" thickTop="1">
      <c r="A252" s="65"/>
      <c r="B252" s="42">
        <f t="shared" ref="B252:B262" si="166">IF(ISNUMBER($G$45),B253+$G$45,"")</f>
        <v>346</v>
      </c>
      <c r="C252" s="568" t="str">
        <f>IF('Registro Original'!C252 = "", "", 'Registro Original'!C252)</f>
        <v/>
      </c>
      <c r="D252" s="574" t="str">
        <f t="shared" ref="D252:D263" si="167">IF(C252&lt;&gt;"",IF(C252 = LARGE($C$252:$C$276,1), C252, ""), "")</f>
        <v/>
      </c>
      <c r="E252" s="42">
        <f t="shared" ref="E252:E262" si="168">IF(ISNUMBER($G$45),E253+$K$45,"")</f>
        <v>340</v>
      </c>
      <c r="F252" s="568" t="str">
        <f>IF('Registro Original'!F252 = "", "", 'Registro Original'!F252)</f>
        <v/>
      </c>
      <c r="G252" s="36" t="str">
        <f t="shared" ref="G252:G276" si="169">IF(F252 &lt;&gt;"", IF(F252 = LARGE($F$252:$F$276,1), F252, ""), "")</f>
        <v/>
      </c>
      <c r="U252" s="103" t="s">
        <v>88</v>
      </c>
      <c r="V252" s="104" t="s">
        <v>89</v>
      </c>
      <c r="W252" s="105" t="s">
        <v>90</v>
      </c>
      <c r="X252" s="104" t="s">
        <v>91</v>
      </c>
      <c r="Y252" s="106" t="s">
        <v>96</v>
      </c>
      <c r="Z252" s="626" t="s">
        <v>378</v>
      </c>
      <c r="AA252" s="627" t="s">
        <v>379</v>
      </c>
      <c r="AB252" s="627" t="s">
        <v>380</v>
      </c>
      <c r="AC252" s="632" t="s">
        <v>381</v>
      </c>
      <c r="AD252" s="50">
        <v>655.29999999999995</v>
      </c>
      <c r="AE252" s="51">
        <v>81.322000000000003</v>
      </c>
      <c r="AF252" s="52">
        <f t="shared" si="127"/>
        <v>8.9791949041833977E-2</v>
      </c>
    </row>
    <row r="253" spans="1:94" ht="15.75" thickBot="1">
      <c r="A253" s="65"/>
      <c r="B253" s="42">
        <f t="shared" si="166"/>
        <v>345</v>
      </c>
      <c r="C253" s="569" t="str">
        <f>IF('Registro Original'!C253 = "", "", 'Registro Original'!C253)</f>
        <v/>
      </c>
      <c r="D253" s="574" t="str">
        <f t="shared" si="167"/>
        <v/>
      </c>
      <c r="E253" s="42">
        <f t="shared" si="168"/>
        <v>339.5</v>
      </c>
      <c r="F253" s="569" t="str">
        <f>IF('Registro Original'!F253 = "", "", 'Registro Original'!F253)</f>
        <v/>
      </c>
      <c r="G253" s="36" t="str">
        <f t="shared" si="169"/>
        <v/>
      </c>
      <c r="U253" s="644">
        <v>339</v>
      </c>
      <c r="V253" s="643">
        <v>8.3199999999999996E-2</v>
      </c>
      <c r="W253" s="645">
        <v>333.9</v>
      </c>
      <c r="X253" s="643">
        <v>0.1709</v>
      </c>
      <c r="Y253" s="646">
        <f>(V253 + X253)/2</f>
        <v>0.12705</v>
      </c>
      <c r="Z253" s="630">
        <f>AC253 - AB253</f>
        <v>2</v>
      </c>
      <c r="AA253" s="628">
        <f>X253 - Y253</f>
        <v>4.385E-2</v>
      </c>
      <c r="AB253" s="629">
        <v>333</v>
      </c>
      <c r="AC253" s="631">
        <v>335</v>
      </c>
      <c r="AD253" s="50">
        <v>655.20000000000005</v>
      </c>
      <c r="AE253" s="51">
        <v>81.233999999999995</v>
      </c>
      <c r="AF253" s="52">
        <f t="shared" si="127"/>
        <v>9.026216137654812E-2</v>
      </c>
    </row>
    <row r="254" spans="1:94" ht="15.75" thickBot="1">
      <c r="A254" s="65"/>
      <c r="B254" s="42">
        <f t="shared" si="166"/>
        <v>344</v>
      </c>
      <c r="C254" s="569" t="str">
        <f>IF('Registro Original'!C254 = "", "", 'Registro Original'!C254)</f>
        <v/>
      </c>
      <c r="D254" s="574" t="str">
        <f t="shared" si="167"/>
        <v/>
      </c>
      <c r="E254" s="42">
        <f t="shared" si="168"/>
        <v>339</v>
      </c>
      <c r="F254" s="569" t="str">
        <f>IF('Registro Original'!F254 = "", "", 'Registro Original'!F254)</f>
        <v/>
      </c>
      <c r="G254" s="36" t="str">
        <f t="shared" si="169"/>
        <v/>
      </c>
      <c r="AD254" s="50">
        <v>655.1</v>
      </c>
      <c r="AE254" s="51">
        <v>81.153999999999996</v>
      </c>
      <c r="AF254" s="52">
        <f t="shared" si="127"/>
        <v>9.0690069366831022E-2</v>
      </c>
      <c r="AG254" s="746" t="s">
        <v>95</v>
      </c>
      <c r="AH254" s="50">
        <v>327.8</v>
      </c>
      <c r="AI254" s="50">
        <f t="shared" ref="AI254:CP254" si="170">AH254+0.2</f>
        <v>328</v>
      </c>
      <c r="AJ254" s="50">
        <f t="shared" si="170"/>
        <v>328.2</v>
      </c>
      <c r="AK254" s="50">
        <f t="shared" si="170"/>
        <v>328.4</v>
      </c>
      <c r="AL254" s="50">
        <f t="shared" si="170"/>
        <v>328.59999999999997</v>
      </c>
      <c r="AM254" s="50">
        <f t="shared" si="170"/>
        <v>328.79999999999995</v>
      </c>
      <c r="AN254" s="50">
        <f t="shared" si="170"/>
        <v>328.99999999999994</v>
      </c>
      <c r="AO254" s="50">
        <f t="shared" si="170"/>
        <v>329.19999999999993</v>
      </c>
      <c r="AP254" s="50">
        <f t="shared" si="170"/>
        <v>329.39999999999992</v>
      </c>
      <c r="AQ254" s="50">
        <f t="shared" si="170"/>
        <v>329.59999999999991</v>
      </c>
      <c r="AR254" s="50">
        <f t="shared" si="170"/>
        <v>329.7999999999999</v>
      </c>
      <c r="AS254" s="50">
        <f t="shared" si="170"/>
        <v>329.99999999999989</v>
      </c>
      <c r="AT254" s="50">
        <f t="shared" si="170"/>
        <v>330.19999999999987</v>
      </c>
      <c r="AU254" s="50">
        <f t="shared" si="170"/>
        <v>330.39999999999986</v>
      </c>
      <c r="AV254" s="50">
        <f t="shared" si="170"/>
        <v>330.59999999999985</v>
      </c>
      <c r="AW254" s="50">
        <f t="shared" si="170"/>
        <v>330.79999999999984</v>
      </c>
      <c r="AX254" s="50">
        <f t="shared" si="170"/>
        <v>330.99999999999983</v>
      </c>
      <c r="AY254" s="50">
        <f t="shared" si="170"/>
        <v>331.19999999999982</v>
      </c>
      <c r="AZ254" s="50">
        <f t="shared" si="170"/>
        <v>331.39999999999981</v>
      </c>
      <c r="BA254" s="50">
        <f t="shared" si="170"/>
        <v>331.5999999999998</v>
      </c>
      <c r="BB254" s="50">
        <f t="shared" si="170"/>
        <v>331.79999999999978</v>
      </c>
      <c r="BC254" s="50">
        <f t="shared" si="170"/>
        <v>331.99999999999977</v>
      </c>
      <c r="BD254" s="50">
        <f t="shared" si="170"/>
        <v>332.19999999999976</v>
      </c>
      <c r="BE254" s="50">
        <f t="shared" si="170"/>
        <v>332.39999999999975</v>
      </c>
      <c r="BF254" s="50">
        <f t="shared" si="170"/>
        <v>332.59999999999974</v>
      </c>
      <c r="BG254" s="50">
        <f t="shared" si="170"/>
        <v>332.79999999999973</v>
      </c>
      <c r="BH254" s="50">
        <f t="shared" si="170"/>
        <v>332.99999999999972</v>
      </c>
      <c r="BI254" s="50">
        <f t="shared" si="170"/>
        <v>333.1999999999997</v>
      </c>
      <c r="BJ254" s="50">
        <f t="shared" si="170"/>
        <v>333.39999999999969</v>
      </c>
      <c r="BK254" s="50">
        <f t="shared" si="170"/>
        <v>333.59999999999968</v>
      </c>
      <c r="BL254" s="50">
        <f t="shared" si="170"/>
        <v>333.79999999999967</v>
      </c>
      <c r="BM254" s="50">
        <f t="shared" si="170"/>
        <v>333.99999999999966</v>
      </c>
      <c r="BN254" s="50">
        <f t="shared" si="170"/>
        <v>334.19999999999965</v>
      </c>
      <c r="BO254" s="50">
        <f t="shared" si="170"/>
        <v>334.39999999999964</v>
      </c>
      <c r="BP254" s="50">
        <f t="shared" si="170"/>
        <v>334.59999999999962</v>
      </c>
      <c r="BQ254" s="50">
        <f t="shared" si="170"/>
        <v>334.79999999999961</v>
      </c>
      <c r="BR254" s="50">
        <f t="shared" si="170"/>
        <v>334.9999999999996</v>
      </c>
      <c r="BS254" s="50">
        <f t="shared" si="170"/>
        <v>335.19999999999959</v>
      </c>
      <c r="BT254" s="50">
        <f t="shared" si="170"/>
        <v>335.39999999999958</v>
      </c>
      <c r="BU254" s="50">
        <f t="shared" si="170"/>
        <v>335.59999999999957</v>
      </c>
      <c r="BV254" s="50">
        <f t="shared" si="170"/>
        <v>335.79999999999956</v>
      </c>
      <c r="BW254" s="50">
        <f t="shared" si="170"/>
        <v>335.99999999999955</v>
      </c>
      <c r="BX254" s="50">
        <f t="shared" si="170"/>
        <v>336.19999999999953</v>
      </c>
      <c r="BY254" s="50">
        <f t="shared" si="170"/>
        <v>336.39999999999952</v>
      </c>
      <c r="BZ254" s="50">
        <f t="shared" si="170"/>
        <v>336.59999999999951</v>
      </c>
      <c r="CA254" s="50">
        <f t="shared" si="170"/>
        <v>336.7999999999995</v>
      </c>
      <c r="CB254" s="50">
        <f t="shared" si="170"/>
        <v>336.99999999999949</v>
      </c>
      <c r="CC254" s="50">
        <f t="shared" si="170"/>
        <v>337.19999999999948</v>
      </c>
      <c r="CD254" s="50">
        <f t="shared" si="170"/>
        <v>337.39999999999947</v>
      </c>
      <c r="CE254" s="50">
        <f t="shared" si="170"/>
        <v>337.59999999999945</v>
      </c>
      <c r="CF254" s="50">
        <f t="shared" si="170"/>
        <v>337.79999999999944</v>
      </c>
      <c r="CG254" s="50">
        <f t="shared" si="170"/>
        <v>337.99999999999943</v>
      </c>
      <c r="CH254" s="50">
        <f t="shared" si="170"/>
        <v>338.19999999999942</v>
      </c>
      <c r="CI254" s="50">
        <f t="shared" si="170"/>
        <v>338.39999999999941</v>
      </c>
      <c r="CJ254" s="50">
        <f t="shared" si="170"/>
        <v>338.5999999999994</v>
      </c>
      <c r="CK254" s="50">
        <f t="shared" si="170"/>
        <v>338.79999999999939</v>
      </c>
      <c r="CL254" s="50">
        <f t="shared" si="170"/>
        <v>338.99999999999937</v>
      </c>
      <c r="CM254" s="50">
        <f t="shared" si="170"/>
        <v>339.19999999999936</v>
      </c>
      <c r="CN254" s="50">
        <f t="shared" si="170"/>
        <v>339.39999999999935</v>
      </c>
      <c r="CO254" s="50">
        <f t="shared" si="170"/>
        <v>339.59999999999934</v>
      </c>
      <c r="CP254" s="50">
        <f t="shared" si="170"/>
        <v>339.79999999999933</v>
      </c>
    </row>
    <row r="255" spans="1:94" ht="15.75" thickBot="1">
      <c r="A255" s="65"/>
      <c r="B255" s="42">
        <f t="shared" si="166"/>
        <v>343</v>
      </c>
      <c r="C255" s="569" t="str">
        <f>IF('Registro Original'!C255 = "", "", 'Registro Original'!C255)</f>
        <v/>
      </c>
      <c r="D255" s="574" t="str">
        <f t="shared" si="167"/>
        <v/>
      </c>
      <c r="E255" s="42">
        <f t="shared" si="168"/>
        <v>338.5</v>
      </c>
      <c r="F255" s="569" t="str">
        <f>IF('Registro Original'!F255 = "", "", 'Registro Original'!F255)</f>
        <v/>
      </c>
      <c r="G255" s="36" t="str">
        <f t="shared" si="169"/>
        <v/>
      </c>
      <c r="U255" s="822" t="s">
        <v>374</v>
      </c>
      <c r="V255" s="823"/>
      <c r="W255" s="823"/>
      <c r="X255" s="823"/>
      <c r="Y255" s="823"/>
      <c r="Z255" s="823"/>
      <c r="AA255" s="824"/>
      <c r="AC255" s="640" t="s">
        <v>345</v>
      </c>
      <c r="AD255" s="50">
        <v>655</v>
      </c>
      <c r="AE255" s="51">
        <v>81.022000000000006</v>
      </c>
      <c r="AF255" s="52">
        <f t="shared" si="127"/>
        <v>9.1397040611288741E-2</v>
      </c>
      <c r="AG255" s="746"/>
      <c r="AH255" s="52">
        <f>$Y253</f>
        <v>0.12705</v>
      </c>
      <c r="AI255" s="52">
        <f t="shared" ref="AI255:CP255" si="171">AH255</f>
        <v>0.12705</v>
      </c>
      <c r="AJ255" s="52">
        <f t="shared" si="171"/>
        <v>0.12705</v>
      </c>
      <c r="AK255" s="52">
        <f t="shared" si="171"/>
        <v>0.12705</v>
      </c>
      <c r="AL255" s="52">
        <f t="shared" si="171"/>
        <v>0.12705</v>
      </c>
      <c r="AM255" s="52">
        <f t="shared" si="171"/>
        <v>0.12705</v>
      </c>
      <c r="AN255" s="52">
        <f t="shared" si="171"/>
        <v>0.12705</v>
      </c>
      <c r="AO255" s="52">
        <f t="shared" si="171"/>
        <v>0.12705</v>
      </c>
      <c r="AP255" s="52">
        <f t="shared" si="171"/>
        <v>0.12705</v>
      </c>
      <c r="AQ255" s="52">
        <f t="shared" si="171"/>
        <v>0.12705</v>
      </c>
      <c r="AR255" s="52">
        <f t="shared" si="171"/>
        <v>0.12705</v>
      </c>
      <c r="AS255" s="52">
        <f t="shared" si="171"/>
        <v>0.12705</v>
      </c>
      <c r="AT255" s="52">
        <f t="shared" si="171"/>
        <v>0.12705</v>
      </c>
      <c r="AU255" s="52">
        <f t="shared" si="171"/>
        <v>0.12705</v>
      </c>
      <c r="AV255" s="52">
        <f t="shared" si="171"/>
        <v>0.12705</v>
      </c>
      <c r="AW255" s="52">
        <f t="shared" si="171"/>
        <v>0.12705</v>
      </c>
      <c r="AX255" s="52">
        <f t="shared" si="171"/>
        <v>0.12705</v>
      </c>
      <c r="AY255" s="52">
        <f t="shared" si="171"/>
        <v>0.12705</v>
      </c>
      <c r="AZ255" s="52">
        <f t="shared" si="171"/>
        <v>0.12705</v>
      </c>
      <c r="BA255" s="52">
        <f t="shared" si="171"/>
        <v>0.12705</v>
      </c>
      <c r="BB255" s="52">
        <f t="shared" si="171"/>
        <v>0.12705</v>
      </c>
      <c r="BC255" s="52">
        <f t="shared" si="171"/>
        <v>0.12705</v>
      </c>
      <c r="BD255" s="52">
        <f t="shared" si="171"/>
        <v>0.12705</v>
      </c>
      <c r="BE255" s="52">
        <f t="shared" si="171"/>
        <v>0.12705</v>
      </c>
      <c r="BF255" s="52">
        <f t="shared" si="171"/>
        <v>0.12705</v>
      </c>
      <c r="BG255" s="52">
        <f t="shared" si="171"/>
        <v>0.12705</v>
      </c>
      <c r="BH255" s="52">
        <f t="shared" si="171"/>
        <v>0.12705</v>
      </c>
      <c r="BI255" s="52">
        <f t="shared" si="171"/>
        <v>0.12705</v>
      </c>
      <c r="BJ255" s="52">
        <f t="shared" si="171"/>
        <v>0.12705</v>
      </c>
      <c r="BK255" s="52">
        <f t="shared" si="171"/>
        <v>0.12705</v>
      </c>
      <c r="BL255" s="52">
        <f t="shared" si="171"/>
        <v>0.12705</v>
      </c>
      <c r="BM255" s="52">
        <f t="shared" si="171"/>
        <v>0.12705</v>
      </c>
      <c r="BN255" s="52">
        <f t="shared" si="171"/>
        <v>0.12705</v>
      </c>
      <c r="BO255" s="52">
        <f t="shared" si="171"/>
        <v>0.12705</v>
      </c>
      <c r="BP255" s="52">
        <f t="shared" si="171"/>
        <v>0.12705</v>
      </c>
      <c r="BQ255" s="52">
        <f t="shared" si="171"/>
        <v>0.12705</v>
      </c>
      <c r="BR255" s="52">
        <f t="shared" si="171"/>
        <v>0.12705</v>
      </c>
      <c r="BS255" s="52">
        <f t="shared" si="171"/>
        <v>0.12705</v>
      </c>
      <c r="BT255" s="52">
        <f t="shared" si="171"/>
        <v>0.12705</v>
      </c>
      <c r="BU255" s="52">
        <f t="shared" si="171"/>
        <v>0.12705</v>
      </c>
      <c r="BV255" s="52">
        <f t="shared" si="171"/>
        <v>0.12705</v>
      </c>
      <c r="BW255" s="52">
        <f t="shared" si="171"/>
        <v>0.12705</v>
      </c>
      <c r="BX255" s="52">
        <f t="shared" si="171"/>
        <v>0.12705</v>
      </c>
      <c r="BY255" s="52">
        <f t="shared" si="171"/>
        <v>0.12705</v>
      </c>
      <c r="BZ255" s="52">
        <f t="shared" si="171"/>
        <v>0.12705</v>
      </c>
      <c r="CA255" s="52">
        <f t="shared" si="171"/>
        <v>0.12705</v>
      </c>
      <c r="CB255" s="52">
        <f t="shared" si="171"/>
        <v>0.12705</v>
      </c>
      <c r="CC255" s="52">
        <f t="shared" si="171"/>
        <v>0.12705</v>
      </c>
      <c r="CD255" s="52">
        <f t="shared" si="171"/>
        <v>0.12705</v>
      </c>
      <c r="CE255" s="52">
        <f t="shared" si="171"/>
        <v>0.12705</v>
      </c>
      <c r="CF255" s="52">
        <f t="shared" si="171"/>
        <v>0.12705</v>
      </c>
      <c r="CG255" s="52">
        <f t="shared" si="171"/>
        <v>0.12705</v>
      </c>
      <c r="CH255" s="52">
        <f t="shared" si="171"/>
        <v>0.12705</v>
      </c>
      <c r="CI255" s="52">
        <f t="shared" si="171"/>
        <v>0.12705</v>
      </c>
      <c r="CJ255" s="52">
        <f t="shared" si="171"/>
        <v>0.12705</v>
      </c>
      <c r="CK255" s="52">
        <f t="shared" si="171"/>
        <v>0.12705</v>
      </c>
      <c r="CL255" s="52">
        <f t="shared" si="171"/>
        <v>0.12705</v>
      </c>
      <c r="CM255" s="52">
        <f t="shared" si="171"/>
        <v>0.12705</v>
      </c>
      <c r="CN255" s="52">
        <f t="shared" si="171"/>
        <v>0.12705</v>
      </c>
      <c r="CO255" s="52">
        <f t="shared" si="171"/>
        <v>0.12705</v>
      </c>
      <c r="CP255" s="52">
        <f t="shared" si="171"/>
        <v>0.12705</v>
      </c>
    </row>
    <row r="256" spans="1:94" ht="19.5">
      <c r="A256" s="46"/>
      <c r="B256" s="42">
        <f t="shared" si="166"/>
        <v>342</v>
      </c>
      <c r="C256" s="569" t="str">
        <f>IF('Registro Original'!C256 = "", "", 'Registro Original'!C256)</f>
        <v/>
      </c>
      <c r="D256" s="574" t="str">
        <f t="shared" si="167"/>
        <v/>
      </c>
      <c r="E256" s="42">
        <f t="shared" si="168"/>
        <v>338</v>
      </c>
      <c r="F256" s="569" t="str">
        <f>IF('Registro Original'!F256 = "", "", 'Registro Original'!F256)</f>
        <v/>
      </c>
      <c r="G256" s="36" t="str">
        <f t="shared" si="169"/>
        <v/>
      </c>
      <c r="U256" s="602" t="s">
        <v>359</v>
      </c>
      <c r="V256" s="88" t="s">
        <v>360</v>
      </c>
      <c r="W256" s="88" t="s">
        <v>361</v>
      </c>
      <c r="X256" s="88" t="s">
        <v>362</v>
      </c>
      <c r="Y256" s="88" t="s">
        <v>363</v>
      </c>
      <c r="Z256" s="88" t="s">
        <v>364</v>
      </c>
      <c r="AA256" s="603" t="s">
        <v>365</v>
      </c>
      <c r="AB256" s="735" t="s">
        <v>458</v>
      </c>
      <c r="AC256" s="736">
        <f>IF(U257="","",IF(AA257&lt;&gt;0, 6,5))</f>
        <v>5</v>
      </c>
      <c r="AD256" s="50">
        <v>654.9</v>
      </c>
      <c r="AE256" s="51">
        <v>80.938999999999993</v>
      </c>
      <c r="AF256" s="52">
        <f t="shared" si="127"/>
        <v>9.1842165612412902E-2</v>
      </c>
    </row>
    <row r="257" spans="1:32" ht="14.25" customHeight="1">
      <c r="A257" s="46"/>
      <c r="B257" s="42">
        <f t="shared" si="166"/>
        <v>341</v>
      </c>
      <c r="C257" s="569" t="str">
        <f>IF('Registro Original'!C257 = "", "", 'Registro Original'!C257)</f>
        <v/>
      </c>
      <c r="D257" s="574" t="str">
        <f t="shared" si="167"/>
        <v/>
      </c>
      <c r="E257" s="42">
        <f t="shared" si="168"/>
        <v>337.5</v>
      </c>
      <c r="F257" s="569" t="str">
        <f>IF('Registro Original'!F257 = "", "", 'Registro Original'!F257)</f>
        <v/>
      </c>
      <c r="G257" s="36" t="str">
        <f t="shared" si="169"/>
        <v/>
      </c>
      <c r="L257" s="48"/>
      <c r="U257" s="633">
        <v>-662238386.81382895</v>
      </c>
      <c r="V257" s="612">
        <v>9901502.8445749898</v>
      </c>
      <c r="W257" s="612">
        <v>-59216.852247655203</v>
      </c>
      <c r="X257" s="612">
        <v>177.07487499298099</v>
      </c>
      <c r="Y257" s="612">
        <v>-0.264749999989494</v>
      </c>
      <c r="Z257" s="612">
        <v>1.58333333327043E-4</v>
      </c>
      <c r="AA257" s="634">
        <v>0</v>
      </c>
      <c r="AB257" s="737" t="s">
        <v>459</v>
      </c>
      <c r="AC257" s="732">
        <f>IF(AC256="", "",AC256 +1)</f>
        <v>6</v>
      </c>
      <c r="AD257" s="50">
        <v>654.79999999999995</v>
      </c>
      <c r="AE257" s="51">
        <v>80.849999999999994</v>
      </c>
      <c r="AF257" s="52">
        <f t="shared" si="127"/>
        <v>9.2319975757580053E-2</v>
      </c>
    </row>
    <row r="258" spans="1:32" ht="18">
      <c r="A258" s="590" t="s">
        <v>352</v>
      </c>
      <c r="B258" s="42">
        <f t="shared" si="166"/>
        <v>340</v>
      </c>
      <c r="C258" s="569">
        <f>IF('Registro Original'!C258 = "", "", 'Registro Original'!C258)</f>
        <v>7.2999999999999995E-2</v>
      </c>
      <c r="D258" s="574" t="str">
        <f t="shared" si="167"/>
        <v/>
      </c>
      <c r="E258" s="42">
        <f t="shared" si="168"/>
        <v>337</v>
      </c>
      <c r="F258" s="569">
        <f>IF('Registro Original'!F258 = "", "", 'Registro Original'!F258)</f>
        <v>7.2999999999999995E-2</v>
      </c>
      <c r="G258" s="36" t="str">
        <f t="shared" si="169"/>
        <v/>
      </c>
      <c r="U258" s="606" t="s">
        <v>373</v>
      </c>
      <c r="V258" s="607" t="s">
        <v>369</v>
      </c>
      <c r="W258" s="601" t="s">
        <v>375</v>
      </c>
      <c r="X258" s="601" t="s">
        <v>367</v>
      </c>
      <c r="Y258" s="601" t="s">
        <v>368</v>
      </c>
      <c r="Z258" s="635" t="s">
        <v>370</v>
      </c>
      <c r="AA258" s="636" t="s">
        <v>369</v>
      </c>
      <c r="AB258" s="737" t="s">
        <v>460</v>
      </c>
      <c r="AC258" s="605">
        <f xml:space="preserve"> 0.999999997370859</f>
        <v>0.99999999737085898</v>
      </c>
      <c r="AD258" s="50">
        <v>654.70000000000005</v>
      </c>
      <c r="AE258" s="51">
        <v>80.765000000000001</v>
      </c>
      <c r="AF258" s="52">
        <f t="shared" si="127"/>
        <v>9.2776802591296212E-2</v>
      </c>
    </row>
    <row r="259" spans="1:32" ht="15" customHeight="1">
      <c r="A259" s="65"/>
      <c r="B259" s="42">
        <f t="shared" si="166"/>
        <v>339</v>
      </c>
      <c r="C259" s="569">
        <f>IF('Registro Original'!C259 = "", "", 'Registro Original'!C259)</f>
        <v>7.3999999999999996E-2</v>
      </c>
      <c r="D259" s="574" t="str">
        <f t="shared" si="167"/>
        <v/>
      </c>
      <c r="E259" s="42">
        <f t="shared" si="168"/>
        <v>336.5</v>
      </c>
      <c r="F259" s="569">
        <f>IF('Registro Original'!F259 = "", "", 'Registro Original'!F259)</f>
        <v>7.4999999999999997E-2</v>
      </c>
      <c r="G259" s="36" t="str">
        <f t="shared" si="169"/>
        <v/>
      </c>
      <c r="U259" s="608">
        <v>1</v>
      </c>
      <c r="V259" s="624">
        <v>334.75</v>
      </c>
      <c r="W259" s="604">
        <f xml:space="preserve"> $U$257 + $V$257*(V259) + $W$257*(V259^2) + $X$257*(V259^3) + $Y$257*(V259^4) + $Z$257*(V259^5) + $AA$257*(V259^6)</f>
        <v>0.10322892665863037</v>
      </c>
      <c r="X259" s="604">
        <f xml:space="preserve"> ($V$257 +  2*$W$257*(V259) +  3*$X$257*(V259^2) + 4*$Y$257*(V259^3) + 5*$Z$257*(V259^4) + 6*$AA$257*(V259^5))</f>
        <v>2.3538246750831604E-4</v>
      </c>
      <c r="Y259" s="617">
        <f xml:space="preserve"> (2*$W$257 + 6*$X$257*(V259) + 12*$Y$257*(V259^2) + 20*$Z$257*(V259^3) + 30*$AA$257*(V259^4))</f>
        <v>-8.8098957057809457E-3</v>
      </c>
      <c r="Z259" s="605">
        <f>V259 - (X259/Y259)</f>
        <v>334.77671796300086</v>
      </c>
      <c r="AA259" s="638">
        <v>335</v>
      </c>
      <c r="AB259" s="738" t="s">
        <v>461</v>
      </c>
      <c r="AC259" s="605">
        <f>IF(AC258="",  "", SQRT(AC258)/(AC257))</f>
        <v>0.16666666644757158</v>
      </c>
      <c r="AD259" s="50">
        <v>654.6</v>
      </c>
      <c r="AE259" s="51">
        <v>80.69</v>
      </c>
      <c r="AF259" s="52">
        <f t="shared" si="127"/>
        <v>9.3180284533454616E-2</v>
      </c>
    </row>
    <row r="260" spans="1:32" ht="15" customHeight="1">
      <c r="A260" s="65"/>
      <c r="B260" s="42">
        <f t="shared" si="166"/>
        <v>338</v>
      </c>
      <c r="C260" s="569">
        <f>IF('Registro Original'!C260 = "", "", 'Registro Original'!C260)</f>
        <v>7.8E-2</v>
      </c>
      <c r="D260" s="574" t="str">
        <f t="shared" si="167"/>
        <v/>
      </c>
      <c r="E260" s="42">
        <f t="shared" si="168"/>
        <v>336</v>
      </c>
      <c r="F260" s="569">
        <f>IF('Registro Original'!F260 = "", "", 'Registro Original'!F260)</f>
        <v>8.1000000000000003E-2</v>
      </c>
      <c r="G260" s="36" t="str">
        <f t="shared" si="169"/>
        <v/>
      </c>
      <c r="U260" s="608">
        <v>2</v>
      </c>
      <c r="V260" s="610">
        <f>Z259</f>
        <v>334.77671796300086</v>
      </c>
      <c r="W260" s="604">
        <f xml:space="preserve"> $U$257 + $V$257*(V260) + $W$257*(V260^2) + $X$257*(V260^3) + $Y$257*(V260^4) + $Z$257*(V260^5) + $AA$257*(V260^6)</f>
        <v>0.10323166847229004</v>
      </c>
      <c r="X260" s="604">
        <f xml:space="preserve"> ($V$257 +  2*$W$257*(V260) +  3*$X$257*(V260^2) + 4*$Y$257*(V260^3) + 5*$Z$257*(V260^4) + 6*$AA$257*(V260^5))</f>
        <v>-1.8998980522155762E-6</v>
      </c>
      <c r="Y260" s="617">
        <f xml:space="preserve"> (2*$W$257 + 6*$X$257*(V260) + 12*$Y$257*(V260^2) + 20*$Z$257*(V260^3) + 30*$AA$257*(V260^4))</f>
        <v>-8.9520485635148361E-3</v>
      </c>
      <c r="Z260" s="605">
        <f>V260 - (X260/Y260)</f>
        <v>334.77650573246626</v>
      </c>
      <c r="AA260" s="620" t="s">
        <v>371</v>
      </c>
      <c r="AB260" s="738" t="s">
        <v>463</v>
      </c>
      <c r="AC260" s="732">
        <f>COUNT(U257,U267)</f>
        <v>2</v>
      </c>
      <c r="AD260" s="50">
        <v>654.5</v>
      </c>
      <c r="AE260" s="51">
        <v>80.591999999999999</v>
      </c>
      <c r="AF260" s="52">
        <f t="shared" si="127"/>
        <v>9.3708066486364025E-2</v>
      </c>
    </row>
    <row r="261" spans="1:32" ht="16.5">
      <c r="A261" s="65"/>
      <c r="B261" s="42">
        <f t="shared" si="166"/>
        <v>337</v>
      </c>
      <c r="C261" s="569">
        <f>IF('Registro Original'!C261 = "", "", 'Registro Original'!C261)</f>
        <v>8.6999999999999994E-2</v>
      </c>
      <c r="D261" s="574" t="str">
        <f t="shared" si="167"/>
        <v/>
      </c>
      <c r="E261" s="42">
        <f t="shared" si="168"/>
        <v>335.5</v>
      </c>
      <c r="F261" s="569">
        <f>IF('Registro Original'!F261 = "", "", 'Registro Original'!F261)</f>
        <v>0.09</v>
      </c>
      <c r="G261" s="36" t="str">
        <f t="shared" si="169"/>
        <v/>
      </c>
      <c r="U261" s="608">
        <v>3</v>
      </c>
      <c r="V261" s="610">
        <f t="shared" ref="V261:V265" si="172">Z260</f>
        <v>334.77650573246626</v>
      </c>
      <c r="W261" s="604">
        <f t="shared" ref="W261:W265" si="173" xml:space="preserve"> $U$257 + $V$257*(V261) + $W$257*(V261^2) + $X$257*(V261^3) + $Y$257*(V261^4) + $Z$257*(V261^5) + $AA$257*(V261^6)</f>
        <v>0.10323238372802734</v>
      </c>
      <c r="X261" s="604">
        <f t="shared" ref="X261:X265" si="174" xml:space="preserve"> ($V$257 +  2*$W$257*(V261) +  3*$X$257*(V261^2) + 4*$Y$257*(V261^3) + 5*$Z$257*(V261^4) + 6*$AA$257*(V261^5))</f>
        <v>-9.3132257461547852E-9</v>
      </c>
      <c r="Y261" s="617">
        <f t="shared" ref="Y261:Y265" si="175" xml:space="preserve"> (2*$W$257 + 6*$X$257*(V261) + 12*$Y$257*(V261^2) + 20*$Z$257*(V261^3) + 30*$AA$257*(V261^4))</f>
        <v>-8.950937888585031E-3</v>
      </c>
      <c r="Z261" s="605">
        <f t="shared" ref="Z261:Z265" si="176">V261 - (X261/Y261)</f>
        <v>334.77650469199142</v>
      </c>
      <c r="AA261" s="637">
        <f xml:space="preserve"> ($V$257 +  2*$W$257*(AA259) +  3*$X$257*(AA259^2) + 4*$Y$257*(AA259^3) + 5*$Z$257*(AA259^4) + 6*$AA$257*(AA259^5))</f>
        <v>-2.1166615188121796E-3</v>
      </c>
      <c r="AB261" s="739" t="s">
        <v>462</v>
      </c>
      <c r="AC261" s="634">
        <f>IF(AC259="", "", AC259/SQRT(AC260))</f>
        <v>0.11785113004283429</v>
      </c>
      <c r="AD261" s="50">
        <v>654.4</v>
      </c>
      <c r="AE261" s="51">
        <v>80.486999999999995</v>
      </c>
      <c r="AF261" s="52">
        <f t="shared" ref="AF261:AF324" si="177">-LOG(AE261/100)</f>
        <v>9.427425980838193E-2</v>
      </c>
    </row>
    <row r="262" spans="1:32" ht="15" customHeight="1">
      <c r="A262" s="65"/>
      <c r="B262" s="42">
        <f t="shared" si="166"/>
        <v>336</v>
      </c>
      <c r="C262" s="569">
        <f>IF('Registro Original'!C262 = "", "", 'Registro Original'!C262)</f>
        <v>9.6000000000000002E-2</v>
      </c>
      <c r="D262" s="574" t="str">
        <f t="shared" si="167"/>
        <v/>
      </c>
      <c r="E262" s="42">
        <f t="shared" si="168"/>
        <v>335</v>
      </c>
      <c r="F262" s="569">
        <f>IF('Registro Original'!F262 = "", "", 'Registro Original'!F262)</f>
        <v>9.9000000000000005E-2</v>
      </c>
      <c r="G262" s="36" t="str">
        <f t="shared" si="169"/>
        <v/>
      </c>
      <c r="U262" s="608">
        <v>4</v>
      </c>
      <c r="V262" s="610">
        <f t="shared" si="172"/>
        <v>334.77650469199142</v>
      </c>
      <c r="W262" s="604">
        <f t="shared" si="173"/>
        <v>0.10323166847229004</v>
      </c>
      <c r="X262" s="604">
        <f t="shared" si="174"/>
        <v>0</v>
      </c>
      <c r="Y262" s="617">
        <f t="shared" si="175"/>
        <v>-8.9509325189283118E-3</v>
      </c>
      <c r="Z262" s="605">
        <f t="shared" si="176"/>
        <v>334.77650469199142</v>
      </c>
      <c r="AA262" s="621"/>
      <c r="AD262" s="50">
        <v>654.29999999999995</v>
      </c>
      <c r="AE262" s="51">
        <v>80.33</v>
      </c>
      <c r="AF262" s="52">
        <f t="shared" si="177"/>
        <v>9.5122233036595352E-2</v>
      </c>
    </row>
    <row r="263" spans="1:32">
      <c r="A263" s="59" t="s">
        <v>345</v>
      </c>
      <c r="B263" s="42">
        <f>IF(ISNUMBER($G$45),B264+$G$45,"")</f>
        <v>335</v>
      </c>
      <c r="C263" s="569">
        <f>IF('Registro Original'!C263 = "", "", 'Registro Original'!C263)</f>
        <v>0.10299999999999999</v>
      </c>
      <c r="D263" s="574">
        <f t="shared" si="167"/>
        <v>0.10299999999999999</v>
      </c>
      <c r="E263" s="42">
        <f>IF(ISNUMBER($G$45),E264+$K$45,"")</f>
        <v>334.5</v>
      </c>
      <c r="F263" s="569">
        <f>IF('Registro Original'!F263 = "", "", 'Registro Original'!F263)</f>
        <v>0.10299999999999999</v>
      </c>
      <c r="G263" s="36">
        <f t="shared" si="169"/>
        <v>0.10299999999999999</v>
      </c>
      <c r="U263" s="608">
        <v>5</v>
      </c>
      <c r="V263" s="610">
        <f t="shared" si="172"/>
        <v>334.77650469199142</v>
      </c>
      <c r="W263" s="604">
        <f t="shared" si="173"/>
        <v>0.10323166847229004</v>
      </c>
      <c r="X263" s="604">
        <f t="shared" si="174"/>
        <v>0</v>
      </c>
      <c r="Y263" s="617">
        <f t="shared" si="175"/>
        <v>-8.9509325189283118E-3</v>
      </c>
      <c r="Z263" s="605">
        <f t="shared" si="176"/>
        <v>334.77650469199142</v>
      </c>
      <c r="AA263" s="621"/>
      <c r="AD263" s="50">
        <v>654.20000000000005</v>
      </c>
      <c r="AE263" s="51">
        <v>80.191999999999993</v>
      </c>
      <c r="AF263" s="52">
        <f t="shared" si="177"/>
        <v>9.586895502196284E-2</v>
      </c>
    </row>
    <row r="264" spans="1:32">
      <c r="A264" s="45">
        <v>333.84</v>
      </c>
      <c r="B264" s="121">
        <v>334</v>
      </c>
      <c r="C264" s="569">
        <f>IF('Registro Original'!C264 = "", "", 'Registro Original'!C264)</f>
        <v>0.10100000000000001</v>
      </c>
      <c r="D264" s="574" t="str">
        <f>IF(C264&lt;&gt;"",IF(C264 = LARGE($C$252:$C$276,1), C264, ""), "")</f>
        <v/>
      </c>
      <c r="E264" s="121">
        <v>334</v>
      </c>
      <c r="F264" s="569">
        <f>IF('Registro Original'!F264 = "", "", 'Registro Original'!F264)</f>
        <v>9.9000000000000005E-2</v>
      </c>
      <c r="G264" s="36" t="str">
        <f t="shared" si="169"/>
        <v/>
      </c>
      <c r="U264" s="608">
        <v>6</v>
      </c>
      <c r="V264" s="610">
        <f t="shared" si="172"/>
        <v>334.77650469199142</v>
      </c>
      <c r="W264" s="604">
        <f t="shared" si="173"/>
        <v>0.10323166847229004</v>
      </c>
      <c r="X264" s="604">
        <f t="shared" si="174"/>
        <v>0</v>
      </c>
      <c r="Y264" s="617">
        <f t="shared" si="175"/>
        <v>-8.9509325189283118E-3</v>
      </c>
      <c r="Z264" s="605">
        <f t="shared" si="176"/>
        <v>334.77650469199142</v>
      </c>
      <c r="AA264" s="621"/>
      <c r="AD264" s="50">
        <v>654.1</v>
      </c>
      <c r="AE264" s="51">
        <v>80.052999999999997</v>
      </c>
      <c r="AF264" s="52">
        <f t="shared" si="177"/>
        <v>9.6622388179003607E-2</v>
      </c>
    </row>
    <row r="265" spans="1:32" ht="15.75" thickBot="1">
      <c r="A265" s="65"/>
      <c r="B265" s="42">
        <f>IF(ISNUMBER($G$45),B264-$G$45,"")</f>
        <v>333</v>
      </c>
      <c r="C265" s="569">
        <f>IF('Registro Original'!C265 = "", "", 'Registro Original'!C265)</f>
        <v>9.4E-2</v>
      </c>
      <c r="D265" s="574" t="str">
        <f t="shared" ref="D265:D276" si="178">IF(C265&lt;&gt;"",IF(C265 = LARGE($C$252:$C$276,1), C265, ""), "")</f>
        <v/>
      </c>
      <c r="E265" s="42">
        <f>IF(ISNUMBER($G$45),E264-$K$45,"")</f>
        <v>333.5</v>
      </c>
      <c r="F265" s="569">
        <f>IF('Registro Original'!F265 = "", "", 'Registro Original'!F265)</f>
        <v>0.09</v>
      </c>
      <c r="G265" s="36" t="str">
        <f t="shared" si="169"/>
        <v/>
      </c>
      <c r="U265" s="611">
        <v>7</v>
      </c>
      <c r="V265" s="657">
        <f t="shared" si="172"/>
        <v>334.77650469199142</v>
      </c>
      <c r="W265" s="612">
        <f t="shared" si="173"/>
        <v>0.10323166847229004</v>
      </c>
      <c r="X265" s="612">
        <f t="shared" si="174"/>
        <v>0</v>
      </c>
      <c r="Y265" s="618">
        <f t="shared" si="175"/>
        <v>-8.9509325189283118E-3</v>
      </c>
      <c r="Z265" s="634">
        <f t="shared" si="176"/>
        <v>334.77650469199142</v>
      </c>
      <c r="AA265" s="622"/>
      <c r="AD265" s="50">
        <v>654</v>
      </c>
      <c r="AE265" s="51">
        <v>79.881</v>
      </c>
      <c r="AF265" s="52">
        <f t="shared" si="177"/>
        <v>9.7556506999087814E-2</v>
      </c>
    </row>
    <row r="266" spans="1:32" ht="18">
      <c r="A266" s="65"/>
      <c r="B266" s="42">
        <f t="shared" ref="B266:B276" si="179">IF(ISNUMBER($G$45),B265-$G$45,"")</f>
        <v>332</v>
      </c>
      <c r="C266" s="569">
        <f>IF('Registro Original'!C266 = "", "", 'Registro Original'!C266)</f>
        <v>7.8E-2</v>
      </c>
      <c r="D266" s="574" t="str">
        <f t="shared" si="178"/>
        <v/>
      </c>
      <c r="E266" s="42">
        <f t="shared" ref="E266:E276" si="180">IF(ISNUMBER($G$45),E265-$K$45,"")</f>
        <v>333</v>
      </c>
      <c r="F266" s="569">
        <f>IF('Registro Original'!F266 = "", "", 'Registro Original'!F266)</f>
        <v>7.3999999999999996E-2</v>
      </c>
      <c r="G266" s="36" t="str">
        <f t="shared" si="169"/>
        <v/>
      </c>
      <c r="U266" s="602" t="s">
        <v>359</v>
      </c>
      <c r="V266" s="88" t="s">
        <v>360</v>
      </c>
      <c r="W266" s="88" t="s">
        <v>361</v>
      </c>
      <c r="X266" s="88" t="s">
        <v>362</v>
      </c>
      <c r="Y266" s="88" t="s">
        <v>363</v>
      </c>
      <c r="Z266" s="88" t="s">
        <v>364</v>
      </c>
      <c r="AA266" s="603" t="s">
        <v>365</v>
      </c>
      <c r="AB266" s="735" t="s">
        <v>458</v>
      </c>
      <c r="AC266" s="736">
        <f>IF(U267="","",IF(AA267&lt;&gt;0, 6,5))</f>
        <v>5</v>
      </c>
      <c r="AD266" s="50">
        <v>653.9</v>
      </c>
      <c r="AE266" s="51">
        <v>79.721000000000004</v>
      </c>
      <c r="AF266" s="52">
        <f t="shared" si="177"/>
        <v>9.8427262257575393E-2</v>
      </c>
    </row>
    <row r="267" spans="1:32">
      <c r="A267" s="65"/>
      <c r="B267" s="42">
        <f t="shared" si="179"/>
        <v>331</v>
      </c>
      <c r="C267" s="569">
        <f>IF('Registro Original'!C267 = "", "", 'Registro Original'!C267)</f>
        <v>6.7000000000000004E-2</v>
      </c>
      <c r="D267" s="574" t="str">
        <f t="shared" si="178"/>
        <v/>
      </c>
      <c r="E267" s="42">
        <f t="shared" si="180"/>
        <v>332.5</v>
      </c>
      <c r="F267" s="569">
        <f>IF('Registro Original'!F267 = "", "", 'Registro Original'!F267)</f>
        <v>6.4000000000000001E-2</v>
      </c>
      <c r="G267" s="36" t="str">
        <f t="shared" si="169"/>
        <v/>
      </c>
      <c r="U267" s="633">
        <v>-383589221.02048498</v>
      </c>
      <c r="V267" s="612">
        <v>5734709.6995247798</v>
      </c>
      <c r="W267" s="612">
        <v>-34293.633205797101</v>
      </c>
      <c r="X267" s="612">
        <v>102.53745832576899</v>
      </c>
      <c r="Y267" s="612">
        <v>-0.15329166665538799</v>
      </c>
      <c r="Z267" s="612">
        <v>9.1666666659939695E-5</v>
      </c>
      <c r="AA267" s="634">
        <v>0</v>
      </c>
      <c r="AB267" s="737" t="s">
        <v>459</v>
      </c>
      <c r="AC267" s="732">
        <f>IF(AC266="", "",AC266 +1)</f>
        <v>6</v>
      </c>
      <c r="AD267" s="50">
        <v>653.79999999999995</v>
      </c>
      <c r="AE267" s="51">
        <v>79.527000000000001</v>
      </c>
      <c r="AF267" s="52">
        <f t="shared" si="177"/>
        <v>9.9485400145254449E-2</v>
      </c>
    </row>
    <row r="268" spans="1:32" ht="18">
      <c r="A268" s="65"/>
      <c r="B268" s="42">
        <f t="shared" si="179"/>
        <v>330</v>
      </c>
      <c r="C268" s="569">
        <f>IF('Registro Original'!C268 = "", "", 'Registro Original'!C268)</f>
        <v>0.06</v>
      </c>
      <c r="D268" s="574" t="str">
        <f t="shared" si="178"/>
        <v/>
      </c>
      <c r="E268" s="42">
        <f t="shared" si="180"/>
        <v>332</v>
      </c>
      <c r="F268" s="569">
        <f>IF('Registro Original'!F268 = "", "", 'Registro Original'!F268)</f>
        <v>5.8000000000000003E-2</v>
      </c>
      <c r="G268" s="36" t="str">
        <f t="shared" si="169"/>
        <v/>
      </c>
      <c r="U268" s="606" t="s">
        <v>373</v>
      </c>
      <c r="V268" s="607" t="s">
        <v>369</v>
      </c>
      <c r="W268" s="601" t="s">
        <v>375</v>
      </c>
      <c r="X268" s="601" t="s">
        <v>367</v>
      </c>
      <c r="Y268" s="601" t="s">
        <v>368</v>
      </c>
      <c r="Z268" s="635" t="s">
        <v>370</v>
      </c>
      <c r="AA268" s="636" t="s">
        <v>369</v>
      </c>
      <c r="AB268" s="737" t="s">
        <v>460</v>
      </c>
      <c r="AC268" s="605">
        <f xml:space="preserve"> 1.00000000086493</f>
        <v>1.0000000008649299</v>
      </c>
      <c r="AD268" s="50">
        <v>653.70000000000005</v>
      </c>
      <c r="AE268" s="51">
        <v>79.436000000000007</v>
      </c>
      <c r="AF268" s="52">
        <f t="shared" si="177"/>
        <v>9.9982632861928461E-2</v>
      </c>
    </row>
    <row r="269" spans="1:32">
      <c r="A269" s="65"/>
      <c r="B269" s="42">
        <f t="shared" si="179"/>
        <v>329</v>
      </c>
      <c r="C269" s="569">
        <f>IF('Registro Original'!C269 = "", "", 'Registro Original'!C269)</f>
        <v>5.6000000000000001E-2</v>
      </c>
      <c r="D269" s="574" t="str">
        <f t="shared" si="178"/>
        <v/>
      </c>
      <c r="E269" s="42">
        <f t="shared" si="180"/>
        <v>331.5</v>
      </c>
      <c r="F269" s="569">
        <f>IF('Registro Original'!F269 = "", "", 'Registro Original'!F269)</f>
        <v>5.5E-2</v>
      </c>
      <c r="G269" s="36" t="str">
        <f t="shared" si="169"/>
        <v/>
      </c>
      <c r="U269" s="608">
        <v>1</v>
      </c>
      <c r="V269" s="642">
        <v>334.86</v>
      </c>
      <c r="W269" s="604">
        <f xml:space="preserve"> $U$267 + $V$267*(V269) + $W$267*(V269^2) + $X$267*(V269^3) + $Y$267*(V269^4) + $Z$267*(V269^5) + $AA$267*(V269^6)</f>
        <v>0.10284394025802612</v>
      </c>
      <c r="X269" s="604">
        <f xml:space="preserve"> ($V$267 +  2*$W$267*(V269) +  3*$X$267*(V269^2) + 4*$Y$267*(V269^3) + 5*$Z$267*(V269^4) + 6*$AA$267*(V269^5))</f>
        <v>1.5269787982106209E-3</v>
      </c>
      <c r="Y269" s="617">
        <f xml:space="preserve"> (2*$W$267 + 6*$X$267*(V269) + 12*$Y$267*(V269^2) + 20*$Z$267*(V269^3) + 30*$AA$267*(V269^4))</f>
        <v>-8.0612315941834822E-3</v>
      </c>
      <c r="Z269" s="605">
        <f>V269 - (X269/Y269)</f>
        <v>335.04942251942151</v>
      </c>
      <c r="AA269" s="639">
        <v>335.04282901373398</v>
      </c>
      <c r="AB269" s="738" t="s">
        <v>461</v>
      </c>
      <c r="AC269" s="605">
        <f>IF(AC268="",  "", SQRT(AC268)/(AC267))</f>
        <v>0.16666666673874417</v>
      </c>
      <c r="AD269" s="50">
        <v>653.6</v>
      </c>
      <c r="AE269" s="51">
        <v>79.248000000000005</v>
      </c>
      <c r="AF269" s="52">
        <f t="shared" si="177"/>
        <v>0.10101168936161911</v>
      </c>
    </row>
    <row r="270" spans="1:32">
      <c r="A270" s="590" t="s">
        <v>351</v>
      </c>
      <c r="B270" s="42">
        <f t="shared" si="179"/>
        <v>328</v>
      </c>
      <c r="C270" s="569">
        <f>IF('Registro Original'!C270 = "", "", 'Registro Original'!C270)</f>
        <v>5.3999999999999999E-2</v>
      </c>
      <c r="D270" s="574" t="str">
        <f t="shared" si="178"/>
        <v/>
      </c>
      <c r="E270" s="42">
        <f t="shared" si="180"/>
        <v>331</v>
      </c>
      <c r="F270" s="569">
        <f>IF('Registro Original'!F270 = "", "", 'Registro Original'!F270)</f>
        <v>5.3999999999999999E-2</v>
      </c>
      <c r="G270" s="36" t="str">
        <f t="shared" si="169"/>
        <v/>
      </c>
      <c r="U270" s="608">
        <v>2</v>
      </c>
      <c r="V270" s="610">
        <f>Z269</f>
        <v>335.04942251942151</v>
      </c>
      <c r="W270" s="604">
        <f xml:space="preserve"> $U$267 + $V$267*(V270) + $W$267*(V270^2) + $X$267*(V270^3) + $Y$267*(V270^4) + $Z$267*(V270^5) + $AA$267*(V270^6)</f>
        <v>0.10298538208007813</v>
      </c>
      <c r="X270" s="604">
        <f xml:space="preserve"> ($V$267 +  2*$W$267*(V270) +  3*$X$267*(V270^2) + 4*$Y$267*(V270^3) + 5*$Z$267*(V270^4) + 6*$AA$267*(V270^5))</f>
        <v>-5.6836754083633423E-5</v>
      </c>
      <c r="Y270" s="617">
        <f xml:space="preserve"> (2*$W$267 + 6*$X$267*(V270) + 12*$Y$267*(V270^2) + 20*$Z$267*(V270^3) + 30*$AA$267*(V270^4))</f>
        <v>-8.6283637647284195E-3</v>
      </c>
      <c r="Z270" s="605">
        <f>V270 - (X270/Y270)</f>
        <v>335.04283531985118</v>
      </c>
      <c r="AA270" s="620" t="s">
        <v>371</v>
      </c>
      <c r="AB270" s="738" t="s">
        <v>463</v>
      </c>
      <c r="AC270" s="732">
        <f>COUNT(U257,U267)</f>
        <v>2</v>
      </c>
      <c r="AD270" s="50">
        <v>653.5</v>
      </c>
      <c r="AE270" s="51">
        <v>79.102000000000004</v>
      </c>
      <c r="AF270" s="52">
        <f t="shared" si="177"/>
        <v>0.10181253574400363</v>
      </c>
    </row>
    <row r="271" spans="1:32" ht="15" customHeight="1">
      <c r="A271" s="65"/>
      <c r="B271" s="42">
        <f t="shared" si="179"/>
        <v>327</v>
      </c>
      <c r="C271" s="569" t="str">
        <f>IF('Registro Original'!C271 = "", "", 'Registro Original'!C271)</f>
        <v/>
      </c>
      <c r="D271" s="574" t="str">
        <f t="shared" si="178"/>
        <v/>
      </c>
      <c r="E271" s="42">
        <f t="shared" si="180"/>
        <v>330.5</v>
      </c>
      <c r="F271" s="569" t="str">
        <f>IF('Registro Original'!F271 = "", "", 'Registro Original'!F271)</f>
        <v/>
      </c>
      <c r="G271" s="36" t="str">
        <f t="shared" si="169"/>
        <v/>
      </c>
      <c r="U271" s="608">
        <v>3</v>
      </c>
      <c r="V271" s="610">
        <f t="shared" ref="V271:V275" si="181">Z270</f>
        <v>335.04283531985118</v>
      </c>
      <c r="W271" s="604">
        <f t="shared" ref="W271:W275" si="182" xml:space="preserve"> $U$267 + $V$267*(V271) + $W$267*(V271^2) + $X$267*(V271^3) + $Y$267*(V271^4) + $Z$267*(V271^5) + $AA$267*(V271^6)</f>
        <v>0.10298490524291992</v>
      </c>
      <c r="X271" s="604">
        <f t="shared" ref="X271:X275" si="183" xml:space="preserve"> ($V$267 +  2*$W$267*(V271) +  3*$X$267*(V271^2) + 4*$Y$267*(V271^3) + 5*$Z$267*(V271^4) + 6*$AA$267*(V271^5))</f>
        <v>-5.029141902923584E-8</v>
      </c>
      <c r="Y271" s="617">
        <f t="shared" ref="Y271:Y275" si="184" xml:space="preserve"> (2*$W$267 + 6*$X$267*(V271) + 12*$Y$267*(V271^2) + 20*$Z$267*(V271^3) + 30*$AA$267*(V271^4))</f>
        <v>-8.6121493513928726E-3</v>
      </c>
      <c r="Z271" s="605">
        <f t="shared" ref="Z271:Z275" si="185">V271 - (X271/Y271)</f>
        <v>335.04282948026145</v>
      </c>
      <c r="AA271" s="637">
        <f xml:space="preserve"> ($V$267 +  2*$W$267*(AA269) +  3*$X$267*(AA269^2) + 4*$Y$267*(AA269^3) + 5*$Z$267*(AA269^4) + 6*$AA$267*(AA269^5))</f>
        <v>9.3132257461547852E-9</v>
      </c>
      <c r="AB271" s="739" t="s">
        <v>462</v>
      </c>
      <c r="AC271" s="634">
        <f>IF(AC269="", "", AC269/SQRT(AC270))</f>
        <v>0.1178511302487244</v>
      </c>
      <c r="AD271" s="50">
        <v>653.4</v>
      </c>
      <c r="AE271" s="51">
        <v>78.960999999999999</v>
      </c>
      <c r="AF271" s="52">
        <f t="shared" si="177"/>
        <v>0.1025873601898402</v>
      </c>
    </row>
    <row r="272" spans="1:32" ht="15" customHeight="1">
      <c r="A272" s="65"/>
      <c r="B272" s="42">
        <f t="shared" si="179"/>
        <v>326</v>
      </c>
      <c r="C272" s="569" t="str">
        <f>IF('Registro Original'!C272 = "", "", 'Registro Original'!C272)</f>
        <v/>
      </c>
      <c r="D272" s="574" t="str">
        <f t="shared" si="178"/>
        <v/>
      </c>
      <c r="E272" s="42">
        <f t="shared" si="180"/>
        <v>330</v>
      </c>
      <c r="F272" s="569" t="str">
        <f>IF('Registro Original'!F272 = "", "", 'Registro Original'!F272)</f>
        <v/>
      </c>
      <c r="G272" s="36" t="str">
        <f t="shared" si="169"/>
        <v/>
      </c>
      <c r="U272" s="608">
        <v>4</v>
      </c>
      <c r="V272" s="610">
        <f t="shared" si="181"/>
        <v>335.04282948026145</v>
      </c>
      <c r="W272" s="604">
        <f t="shared" si="182"/>
        <v>0.1029854416847229</v>
      </c>
      <c r="X272" s="604">
        <f t="shared" si="183"/>
        <v>-2.7939677238464355E-9</v>
      </c>
      <c r="Y272" s="617">
        <f t="shared" si="184"/>
        <v>-8.6121348431333899E-3</v>
      </c>
      <c r="Z272" s="605">
        <f t="shared" si="185"/>
        <v>335.04282915583923</v>
      </c>
      <c r="AA272" s="621"/>
      <c r="AD272" s="50">
        <v>653.29999999999995</v>
      </c>
      <c r="AE272" s="51">
        <v>78.796000000000006</v>
      </c>
      <c r="AF272" s="52">
        <f t="shared" si="177"/>
        <v>0.10349582847516436</v>
      </c>
    </row>
    <row r="273" spans="1:94" ht="15" customHeight="1">
      <c r="A273" s="65"/>
      <c r="B273" s="42">
        <f t="shared" si="179"/>
        <v>325</v>
      </c>
      <c r="C273" s="569" t="str">
        <f>IF('Registro Original'!C273 = "", "", 'Registro Original'!C273)</f>
        <v/>
      </c>
      <c r="D273" s="574" t="str">
        <f t="shared" si="178"/>
        <v/>
      </c>
      <c r="E273" s="42">
        <f t="shared" si="180"/>
        <v>329.5</v>
      </c>
      <c r="F273" s="569" t="str">
        <f>IF('Registro Original'!F273 = "", "", 'Registro Original'!F273)</f>
        <v/>
      </c>
      <c r="G273" s="36" t="str">
        <f t="shared" si="169"/>
        <v/>
      </c>
      <c r="U273" s="608">
        <v>5</v>
      </c>
      <c r="V273" s="610">
        <f t="shared" si="181"/>
        <v>335.04282915583923</v>
      </c>
      <c r="W273" s="604">
        <f t="shared" si="182"/>
        <v>0.10298508405685425</v>
      </c>
      <c r="X273" s="604">
        <f t="shared" si="183"/>
        <v>2.7939677238464355E-9</v>
      </c>
      <c r="Y273" s="617">
        <f t="shared" si="184"/>
        <v>-8.6121340718818828E-3</v>
      </c>
      <c r="Z273" s="605">
        <f t="shared" si="185"/>
        <v>335.04282948026145</v>
      </c>
      <c r="AA273" s="621"/>
      <c r="AD273" s="50">
        <v>653.20000000000005</v>
      </c>
      <c r="AE273" s="51">
        <v>78.614999999999995</v>
      </c>
      <c r="AF273" s="52">
        <f t="shared" si="177"/>
        <v>0.10449458124172543</v>
      </c>
    </row>
    <row r="274" spans="1:94" ht="15" customHeight="1">
      <c r="A274" s="65"/>
      <c r="B274" s="42">
        <f t="shared" si="179"/>
        <v>324</v>
      </c>
      <c r="C274" s="569" t="str">
        <f>IF('Registro Original'!C274 = "", "", 'Registro Original'!C274)</f>
        <v/>
      </c>
      <c r="D274" s="574" t="str">
        <f t="shared" si="178"/>
        <v/>
      </c>
      <c r="E274" s="42">
        <f t="shared" si="180"/>
        <v>329</v>
      </c>
      <c r="F274" s="569" t="str">
        <f>IF('Registro Original'!F274 = "", "", 'Registro Original'!F274)</f>
        <v/>
      </c>
      <c r="G274" s="36" t="str">
        <f t="shared" si="169"/>
        <v/>
      </c>
      <c r="U274" s="608">
        <v>6</v>
      </c>
      <c r="V274" s="610">
        <f t="shared" si="181"/>
        <v>335.04282948026145</v>
      </c>
      <c r="W274" s="604">
        <f t="shared" si="182"/>
        <v>0.1029854416847229</v>
      </c>
      <c r="X274" s="604">
        <f t="shared" si="183"/>
        <v>-2.7939677238464355E-9</v>
      </c>
      <c r="Y274" s="617">
        <f t="shared" si="184"/>
        <v>-8.6121348431333899E-3</v>
      </c>
      <c r="Z274" s="605">
        <f t="shared" si="185"/>
        <v>335.04282915583923</v>
      </c>
      <c r="AA274" s="621"/>
      <c r="AD274" s="50">
        <v>653.1</v>
      </c>
      <c r="AE274" s="51">
        <v>78.436999999999998</v>
      </c>
      <c r="AF274" s="52">
        <f t="shared" si="177"/>
        <v>0.10547902525873151</v>
      </c>
    </row>
    <row r="275" spans="1:94">
      <c r="A275" s="65"/>
      <c r="B275" s="42">
        <f t="shared" si="179"/>
        <v>323</v>
      </c>
      <c r="C275" s="569" t="str">
        <f>IF('Registro Original'!C275 = "", "", 'Registro Original'!C275)</f>
        <v/>
      </c>
      <c r="D275" s="574" t="str">
        <f t="shared" si="178"/>
        <v/>
      </c>
      <c r="E275" s="42">
        <f t="shared" si="180"/>
        <v>328.5</v>
      </c>
      <c r="F275" s="569" t="str">
        <f>IF('Registro Original'!F275 = "", "", 'Registro Original'!F275)</f>
        <v/>
      </c>
      <c r="G275" s="36" t="str">
        <f t="shared" si="169"/>
        <v/>
      </c>
      <c r="U275" s="611">
        <v>7</v>
      </c>
      <c r="V275" s="658">
        <f t="shared" si="181"/>
        <v>335.04282915583923</v>
      </c>
      <c r="W275" s="612">
        <f t="shared" si="182"/>
        <v>0.10298508405685425</v>
      </c>
      <c r="X275" s="612">
        <f t="shared" si="183"/>
        <v>2.7939677238464355E-9</v>
      </c>
      <c r="Y275" s="618">
        <f t="shared" si="184"/>
        <v>-8.6121340718818828E-3</v>
      </c>
      <c r="Z275" s="634">
        <f t="shared" si="185"/>
        <v>335.04282948026145</v>
      </c>
      <c r="AA275" s="622"/>
      <c r="AD275" s="50">
        <v>653</v>
      </c>
      <c r="AE275" s="51">
        <v>78.186999999999998</v>
      </c>
      <c r="AF275" s="52">
        <f t="shared" si="177"/>
        <v>0.1068654502342589</v>
      </c>
    </row>
    <row r="276" spans="1:94" ht="15.75" thickBot="1">
      <c r="A276" s="66"/>
      <c r="B276" s="47">
        <f t="shared" si="179"/>
        <v>322</v>
      </c>
      <c r="C276" s="570" t="str">
        <f>IF('Registro Original'!C276 = "", "", 'Registro Original'!C276)</f>
        <v/>
      </c>
      <c r="D276" s="575" t="str">
        <f t="shared" si="178"/>
        <v/>
      </c>
      <c r="E276" s="47">
        <f t="shared" si="180"/>
        <v>328</v>
      </c>
      <c r="F276" s="570" t="str">
        <f>IF('Registro Original'!F276 = "", "", 'Registro Original'!F276)</f>
        <v/>
      </c>
      <c r="G276" s="571" t="str">
        <f t="shared" si="169"/>
        <v/>
      </c>
      <c r="AD276" s="50">
        <v>652.9</v>
      </c>
      <c r="AE276" s="51">
        <v>77.941000000000003</v>
      </c>
      <c r="AF276" s="52">
        <f t="shared" si="177"/>
        <v>0.10823402641482134</v>
      </c>
    </row>
    <row r="277" spans="1:94" ht="15.75" thickTop="1">
      <c r="A277" s="65"/>
      <c r="B277" s="42">
        <f t="shared" ref="B277:B287" si="186">IF(ISNUMBER($G$45),B278+$G$45,"")</f>
        <v>299</v>
      </c>
      <c r="C277" s="568" t="str">
        <f>IF('Registro Original'!C277 = "", "", 'Registro Original'!C277)</f>
        <v/>
      </c>
      <c r="D277" s="574" t="str">
        <f t="shared" ref="D277:D288" si="187">IF(C277&lt;&gt;"",IF(C277 = LARGE($C$277:$C$301,1), C277, ""), "")</f>
        <v/>
      </c>
      <c r="E277" s="42">
        <f t="shared" ref="E277:E287" si="188">IF(ISNUMBER($G$45),E278+$K$45,"")</f>
        <v>293</v>
      </c>
      <c r="F277" s="568" t="str">
        <f>IF('Registro Original'!F277 = "", "", 'Registro Original'!F277)</f>
        <v/>
      </c>
      <c r="G277" s="36" t="str">
        <f t="shared" ref="G277:G288" si="189">IF(F277 &lt;&gt;"", IF(F277 = LARGE($F$277:$F$301,1), F277, ""), "")</f>
        <v/>
      </c>
      <c r="U277" s="103" t="s">
        <v>88</v>
      </c>
      <c r="V277" s="104" t="s">
        <v>89</v>
      </c>
      <c r="W277" s="105" t="s">
        <v>90</v>
      </c>
      <c r="X277" s="104" t="s">
        <v>91</v>
      </c>
      <c r="Y277" s="106" t="s">
        <v>96</v>
      </c>
      <c r="Z277" s="626" t="s">
        <v>378</v>
      </c>
      <c r="AA277" s="627" t="s">
        <v>379</v>
      </c>
      <c r="AB277" s="627" t="s">
        <v>380</v>
      </c>
      <c r="AC277" s="632" t="s">
        <v>381</v>
      </c>
      <c r="AD277" s="50">
        <v>652.79999999999995</v>
      </c>
      <c r="AE277" s="51">
        <v>77.744</v>
      </c>
      <c r="AF277" s="52">
        <f t="shared" si="177"/>
        <v>0.10933311828106895</v>
      </c>
    </row>
    <row r="278" spans="1:94" ht="15.75" thickBot="1">
      <c r="A278" s="65"/>
      <c r="B278" s="42">
        <f t="shared" si="186"/>
        <v>298</v>
      </c>
      <c r="C278" s="569" t="str">
        <f>IF('Registro Original'!C278 = "", "", 'Registro Original'!C278)</f>
        <v/>
      </c>
      <c r="D278" s="574" t="str">
        <f t="shared" si="187"/>
        <v/>
      </c>
      <c r="E278" s="42">
        <f t="shared" si="188"/>
        <v>292.5</v>
      </c>
      <c r="F278" s="569" t="str">
        <f>IF('Registro Original'!F278 = "", "", 'Registro Original'!F278)</f>
        <v/>
      </c>
      <c r="G278" s="36" t="str">
        <f t="shared" si="189"/>
        <v/>
      </c>
      <c r="U278" s="644">
        <v>289.3</v>
      </c>
      <c r="V278" s="643">
        <v>0.3009</v>
      </c>
      <c r="W278" s="645">
        <v>287.60000000000002</v>
      </c>
      <c r="X278" s="643">
        <v>0.45200000000000001</v>
      </c>
      <c r="Y278" s="646">
        <f>(V278 + X278)/2</f>
        <v>0.37645000000000001</v>
      </c>
      <c r="Z278" s="630">
        <f>AC278 - AB278</f>
        <v>1.1999999999999886</v>
      </c>
      <c r="AA278" s="628">
        <f>X278 - Y278</f>
        <v>7.5550000000000006E-2</v>
      </c>
      <c r="AB278" s="629">
        <v>287.10000000000002</v>
      </c>
      <c r="AC278" s="631">
        <v>288.3</v>
      </c>
      <c r="AD278" s="50">
        <v>652.70000000000005</v>
      </c>
      <c r="AE278" s="51">
        <v>77.564999999999998</v>
      </c>
      <c r="AF278" s="52">
        <f t="shared" si="177"/>
        <v>0.11033420317224903</v>
      </c>
    </row>
    <row r="279" spans="1:94" ht="15.75" thickBot="1">
      <c r="A279" s="65"/>
      <c r="B279" s="42">
        <f t="shared" si="186"/>
        <v>297</v>
      </c>
      <c r="C279" s="569" t="str">
        <f>IF('Registro Original'!C279 = "", "", 'Registro Original'!C279)</f>
        <v/>
      </c>
      <c r="D279" s="574" t="str">
        <f t="shared" si="187"/>
        <v/>
      </c>
      <c r="E279" s="42">
        <f t="shared" si="188"/>
        <v>292</v>
      </c>
      <c r="F279" s="569" t="str">
        <f>IF('Registro Original'!F279 = "", "", 'Registro Original'!F279)</f>
        <v/>
      </c>
      <c r="G279" s="36" t="str">
        <f t="shared" si="189"/>
        <v/>
      </c>
      <c r="AD279" s="50">
        <v>652.6</v>
      </c>
      <c r="AE279" s="51">
        <v>77.328999999999994</v>
      </c>
      <c r="AF279" s="52">
        <f t="shared" si="177"/>
        <v>0.11165760597725929</v>
      </c>
      <c r="AG279" s="746" t="s">
        <v>95</v>
      </c>
      <c r="AH279" s="50">
        <v>281.5</v>
      </c>
      <c r="AI279" s="50">
        <f t="shared" ref="AI279:CP279" si="190">AH279+0.2</f>
        <v>281.7</v>
      </c>
      <c r="AJ279" s="50">
        <f t="shared" si="190"/>
        <v>281.89999999999998</v>
      </c>
      <c r="AK279" s="50">
        <f t="shared" si="190"/>
        <v>282.09999999999997</v>
      </c>
      <c r="AL279" s="50">
        <f t="shared" si="190"/>
        <v>282.29999999999995</v>
      </c>
      <c r="AM279" s="50">
        <f t="shared" si="190"/>
        <v>282.49999999999994</v>
      </c>
      <c r="AN279" s="50">
        <f t="shared" si="190"/>
        <v>282.69999999999993</v>
      </c>
      <c r="AO279" s="50">
        <f t="shared" si="190"/>
        <v>282.89999999999992</v>
      </c>
      <c r="AP279" s="50">
        <f t="shared" si="190"/>
        <v>283.09999999999991</v>
      </c>
      <c r="AQ279" s="50">
        <f t="shared" si="190"/>
        <v>283.2999999999999</v>
      </c>
      <c r="AR279" s="50">
        <f t="shared" si="190"/>
        <v>283.49999999999989</v>
      </c>
      <c r="AS279" s="50">
        <f t="shared" si="190"/>
        <v>283.69999999999987</v>
      </c>
      <c r="AT279" s="50">
        <f t="shared" si="190"/>
        <v>283.89999999999986</v>
      </c>
      <c r="AU279" s="50">
        <f t="shared" si="190"/>
        <v>284.09999999999985</v>
      </c>
      <c r="AV279" s="50">
        <f t="shared" si="190"/>
        <v>284.29999999999984</v>
      </c>
      <c r="AW279" s="50">
        <f t="shared" si="190"/>
        <v>284.49999999999983</v>
      </c>
      <c r="AX279" s="50">
        <f t="shared" si="190"/>
        <v>284.69999999999982</v>
      </c>
      <c r="AY279" s="50">
        <f t="shared" si="190"/>
        <v>284.89999999999981</v>
      </c>
      <c r="AZ279" s="50">
        <f t="shared" si="190"/>
        <v>285.0999999999998</v>
      </c>
      <c r="BA279" s="50">
        <f t="shared" si="190"/>
        <v>285.29999999999978</v>
      </c>
      <c r="BB279" s="50">
        <f t="shared" si="190"/>
        <v>285.49999999999977</v>
      </c>
      <c r="BC279" s="50">
        <f t="shared" si="190"/>
        <v>285.69999999999976</v>
      </c>
      <c r="BD279" s="50">
        <f t="shared" si="190"/>
        <v>285.89999999999975</v>
      </c>
      <c r="BE279" s="50">
        <f t="shared" si="190"/>
        <v>286.09999999999974</v>
      </c>
      <c r="BF279" s="50">
        <f t="shared" si="190"/>
        <v>286.29999999999973</v>
      </c>
      <c r="BG279" s="50">
        <f t="shared" si="190"/>
        <v>286.49999999999972</v>
      </c>
      <c r="BH279" s="50">
        <f t="shared" si="190"/>
        <v>286.6999999999997</v>
      </c>
      <c r="BI279" s="50">
        <f t="shared" si="190"/>
        <v>286.89999999999969</v>
      </c>
      <c r="BJ279" s="50">
        <f t="shared" si="190"/>
        <v>287.09999999999968</v>
      </c>
      <c r="BK279" s="50">
        <f t="shared" si="190"/>
        <v>287.29999999999967</v>
      </c>
      <c r="BL279" s="50">
        <f t="shared" si="190"/>
        <v>287.49999999999966</v>
      </c>
      <c r="BM279" s="50">
        <f t="shared" si="190"/>
        <v>287.69999999999965</v>
      </c>
      <c r="BN279" s="50">
        <f t="shared" si="190"/>
        <v>287.89999999999964</v>
      </c>
      <c r="BO279" s="50">
        <f t="shared" si="190"/>
        <v>288.09999999999962</v>
      </c>
      <c r="BP279" s="50">
        <f t="shared" si="190"/>
        <v>288.29999999999961</v>
      </c>
      <c r="BQ279" s="50">
        <f t="shared" si="190"/>
        <v>288.4999999999996</v>
      </c>
      <c r="BR279" s="50">
        <f t="shared" si="190"/>
        <v>288.69999999999959</v>
      </c>
      <c r="BS279" s="50">
        <f t="shared" si="190"/>
        <v>288.89999999999958</v>
      </c>
      <c r="BT279" s="50">
        <f t="shared" si="190"/>
        <v>289.09999999999957</v>
      </c>
      <c r="BU279" s="50">
        <f t="shared" si="190"/>
        <v>289.29999999999956</v>
      </c>
      <c r="BV279" s="50">
        <f t="shared" si="190"/>
        <v>289.49999999999955</v>
      </c>
      <c r="BW279" s="50">
        <f t="shared" si="190"/>
        <v>289.69999999999953</v>
      </c>
      <c r="BX279" s="50">
        <f t="shared" si="190"/>
        <v>289.89999999999952</v>
      </c>
      <c r="BY279" s="50">
        <f t="shared" si="190"/>
        <v>290.09999999999951</v>
      </c>
      <c r="BZ279" s="50">
        <f t="shared" si="190"/>
        <v>290.2999999999995</v>
      </c>
      <c r="CA279" s="50">
        <f t="shared" si="190"/>
        <v>290.49999999999949</v>
      </c>
      <c r="CB279" s="50">
        <f t="shared" si="190"/>
        <v>290.69999999999948</v>
      </c>
      <c r="CC279" s="50">
        <f t="shared" si="190"/>
        <v>290.89999999999947</v>
      </c>
      <c r="CD279" s="50">
        <f t="shared" si="190"/>
        <v>291.09999999999945</v>
      </c>
      <c r="CE279" s="50">
        <f t="shared" si="190"/>
        <v>291.29999999999944</v>
      </c>
      <c r="CF279" s="50">
        <f t="shared" si="190"/>
        <v>291.49999999999943</v>
      </c>
      <c r="CG279" s="50">
        <f t="shared" si="190"/>
        <v>291.69999999999942</v>
      </c>
      <c r="CH279" s="50">
        <f t="shared" si="190"/>
        <v>291.89999999999941</v>
      </c>
      <c r="CI279" s="50">
        <f t="shared" si="190"/>
        <v>292.0999999999994</v>
      </c>
      <c r="CJ279" s="50">
        <f t="shared" si="190"/>
        <v>292.29999999999939</v>
      </c>
      <c r="CK279" s="50">
        <f t="shared" si="190"/>
        <v>292.49999999999937</v>
      </c>
      <c r="CL279" s="50">
        <f t="shared" si="190"/>
        <v>292.69999999999936</v>
      </c>
      <c r="CM279" s="50">
        <f t="shared" si="190"/>
        <v>292.89999999999935</v>
      </c>
      <c r="CN279" s="50">
        <f t="shared" si="190"/>
        <v>293.09999999999934</v>
      </c>
      <c r="CO279" s="50">
        <f t="shared" si="190"/>
        <v>293.29999999999933</v>
      </c>
      <c r="CP279" s="50">
        <f t="shared" si="190"/>
        <v>293.49999999999932</v>
      </c>
    </row>
    <row r="280" spans="1:94" ht="15.75" thickBot="1">
      <c r="A280" s="65"/>
      <c r="B280" s="42">
        <f t="shared" si="186"/>
        <v>296</v>
      </c>
      <c r="C280" s="569" t="str">
        <f>IF('Registro Original'!C280 = "", "", 'Registro Original'!C280)</f>
        <v/>
      </c>
      <c r="D280" s="574" t="str">
        <f t="shared" si="187"/>
        <v/>
      </c>
      <c r="E280" s="42">
        <f t="shared" si="188"/>
        <v>291.5</v>
      </c>
      <c r="F280" s="569" t="str">
        <f>IF('Registro Original'!F280 = "", "", 'Registro Original'!F280)</f>
        <v/>
      </c>
      <c r="G280" s="36" t="str">
        <f t="shared" si="189"/>
        <v/>
      </c>
      <c r="U280" s="822" t="s">
        <v>374</v>
      </c>
      <c r="V280" s="823"/>
      <c r="W280" s="823"/>
      <c r="X280" s="823"/>
      <c r="Y280" s="823"/>
      <c r="Z280" s="823"/>
      <c r="AA280" s="824"/>
      <c r="AC280" s="640" t="s">
        <v>348</v>
      </c>
      <c r="AD280" s="50">
        <v>652.5</v>
      </c>
      <c r="AE280" s="51">
        <v>77.111000000000004</v>
      </c>
      <c r="AF280" s="52">
        <f t="shared" si="177"/>
        <v>0.11288366476947682</v>
      </c>
      <c r="AG280" s="746"/>
      <c r="AH280" s="52">
        <f>$Y278</f>
        <v>0.37645000000000001</v>
      </c>
      <c r="AI280" s="52">
        <f t="shared" ref="AI280:CP280" si="191">AH280</f>
        <v>0.37645000000000001</v>
      </c>
      <c r="AJ280" s="52">
        <f t="shared" si="191"/>
        <v>0.37645000000000001</v>
      </c>
      <c r="AK280" s="52">
        <f t="shared" si="191"/>
        <v>0.37645000000000001</v>
      </c>
      <c r="AL280" s="52">
        <f t="shared" si="191"/>
        <v>0.37645000000000001</v>
      </c>
      <c r="AM280" s="52">
        <f t="shared" si="191"/>
        <v>0.37645000000000001</v>
      </c>
      <c r="AN280" s="52">
        <f t="shared" si="191"/>
        <v>0.37645000000000001</v>
      </c>
      <c r="AO280" s="52">
        <f t="shared" si="191"/>
        <v>0.37645000000000001</v>
      </c>
      <c r="AP280" s="52">
        <f t="shared" si="191"/>
        <v>0.37645000000000001</v>
      </c>
      <c r="AQ280" s="52">
        <f t="shared" si="191"/>
        <v>0.37645000000000001</v>
      </c>
      <c r="AR280" s="52">
        <f t="shared" si="191"/>
        <v>0.37645000000000001</v>
      </c>
      <c r="AS280" s="52">
        <f t="shared" si="191"/>
        <v>0.37645000000000001</v>
      </c>
      <c r="AT280" s="52">
        <f t="shared" si="191"/>
        <v>0.37645000000000001</v>
      </c>
      <c r="AU280" s="52">
        <f t="shared" si="191"/>
        <v>0.37645000000000001</v>
      </c>
      <c r="AV280" s="52">
        <f t="shared" si="191"/>
        <v>0.37645000000000001</v>
      </c>
      <c r="AW280" s="52">
        <f t="shared" si="191"/>
        <v>0.37645000000000001</v>
      </c>
      <c r="AX280" s="52">
        <f t="shared" si="191"/>
        <v>0.37645000000000001</v>
      </c>
      <c r="AY280" s="52">
        <f t="shared" si="191"/>
        <v>0.37645000000000001</v>
      </c>
      <c r="AZ280" s="52">
        <f t="shared" si="191"/>
        <v>0.37645000000000001</v>
      </c>
      <c r="BA280" s="52">
        <f t="shared" si="191"/>
        <v>0.37645000000000001</v>
      </c>
      <c r="BB280" s="52">
        <f t="shared" si="191"/>
        <v>0.37645000000000001</v>
      </c>
      <c r="BC280" s="52">
        <f t="shared" si="191"/>
        <v>0.37645000000000001</v>
      </c>
      <c r="BD280" s="52">
        <f t="shared" si="191"/>
        <v>0.37645000000000001</v>
      </c>
      <c r="BE280" s="52">
        <f t="shared" si="191"/>
        <v>0.37645000000000001</v>
      </c>
      <c r="BF280" s="52">
        <f t="shared" si="191"/>
        <v>0.37645000000000001</v>
      </c>
      <c r="BG280" s="52">
        <f t="shared" si="191"/>
        <v>0.37645000000000001</v>
      </c>
      <c r="BH280" s="52">
        <f t="shared" si="191"/>
        <v>0.37645000000000001</v>
      </c>
      <c r="BI280" s="52">
        <f t="shared" si="191"/>
        <v>0.37645000000000001</v>
      </c>
      <c r="BJ280" s="52">
        <f t="shared" si="191"/>
        <v>0.37645000000000001</v>
      </c>
      <c r="BK280" s="52">
        <f t="shared" si="191"/>
        <v>0.37645000000000001</v>
      </c>
      <c r="BL280" s="52">
        <f t="shared" si="191"/>
        <v>0.37645000000000001</v>
      </c>
      <c r="BM280" s="52">
        <f t="shared" si="191"/>
        <v>0.37645000000000001</v>
      </c>
      <c r="BN280" s="52">
        <f t="shared" si="191"/>
        <v>0.37645000000000001</v>
      </c>
      <c r="BO280" s="52">
        <f t="shared" si="191"/>
        <v>0.37645000000000001</v>
      </c>
      <c r="BP280" s="52">
        <f t="shared" si="191"/>
        <v>0.37645000000000001</v>
      </c>
      <c r="BQ280" s="52">
        <f t="shared" si="191"/>
        <v>0.37645000000000001</v>
      </c>
      <c r="BR280" s="52">
        <f t="shared" si="191"/>
        <v>0.37645000000000001</v>
      </c>
      <c r="BS280" s="52">
        <f t="shared" si="191"/>
        <v>0.37645000000000001</v>
      </c>
      <c r="BT280" s="52">
        <f t="shared" si="191"/>
        <v>0.37645000000000001</v>
      </c>
      <c r="BU280" s="52">
        <f t="shared" si="191"/>
        <v>0.37645000000000001</v>
      </c>
      <c r="BV280" s="52">
        <f t="shared" si="191"/>
        <v>0.37645000000000001</v>
      </c>
      <c r="BW280" s="52">
        <f t="shared" si="191"/>
        <v>0.37645000000000001</v>
      </c>
      <c r="BX280" s="52">
        <f t="shared" si="191"/>
        <v>0.37645000000000001</v>
      </c>
      <c r="BY280" s="52">
        <f t="shared" si="191"/>
        <v>0.37645000000000001</v>
      </c>
      <c r="BZ280" s="52">
        <f t="shared" si="191"/>
        <v>0.37645000000000001</v>
      </c>
      <c r="CA280" s="52">
        <f t="shared" si="191"/>
        <v>0.37645000000000001</v>
      </c>
      <c r="CB280" s="52">
        <f t="shared" si="191"/>
        <v>0.37645000000000001</v>
      </c>
      <c r="CC280" s="52">
        <f t="shared" si="191"/>
        <v>0.37645000000000001</v>
      </c>
      <c r="CD280" s="52">
        <f t="shared" si="191"/>
        <v>0.37645000000000001</v>
      </c>
      <c r="CE280" s="52">
        <f t="shared" si="191"/>
        <v>0.37645000000000001</v>
      </c>
      <c r="CF280" s="52">
        <f t="shared" si="191"/>
        <v>0.37645000000000001</v>
      </c>
      <c r="CG280" s="52">
        <f t="shared" si="191"/>
        <v>0.37645000000000001</v>
      </c>
      <c r="CH280" s="52">
        <f t="shared" si="191"/>
        <v>0.37645000000000001</v>
      </c>
      <c r="CI280" s="52">
        <f t="shared" si="191"/>
        <v>0.37645000000000001</v>
      </c>
      <c r="CJ280" s="52">
        <f t="shared" si="191"/>
        <v>0.37645000000000001</v>
      </c>
      <c r="CK280" s="52">
        <f t="shared" si="191"/>
        <v>0.37645000000000001</v>
      </c>
      <c r="CL280" s="52">
        <f t="shared" si="191"/>
        <v>0.37645000000000001</v>
      </c>
      <c r="CM280" s="52">
        <f t="shared" si="191"/>
        <v>0.37645000000000001</v>
      </c>
      <c r="CN280" s="52">
        <f t="shared" si="191"/>
        <v>0.37645000000000001</v>
      </c>
      <c r="CO280" s="52">
        <f t="shared" si="191"/>
        <v>0.37645000000000001</v>
      </c>
      <c r="CP280" s="52">
        <f t="shared" si="191"/>
        <v>0.37645000000000001</v>
      </c>
    </row>
    <row r="281" spans="1:94" ht="19.5">
      <c r="A281" s="46"/>
      <c r="B281" s="42">
        <f t="shared" si="186"/>
        <v>295</v>
      </c>
      <c r="C281" s="569" t="str">
        <f>IF('Registro Original'!C281 = "", "", 'Registro Original'!C281)</f>
        <v/>
      </c>
      <c r="D281" s="574" t="str">
        <f t="shared" si="187"/>
        <v/>
      </c>
      <c r="E281" s="42">
        <f t="shared" si="188"/>
        <v>291</v>
      </c>
      <c r="F281" s="569" t="str">
        <f>IF('Registro Original'!F281 = "", "", 'Registro Original'!F281)</f>
        <v/>
      </c>
      <c r="G281" s="36" t="str">
        <f t="shared" si="189"/>
        <v/>
      </c>
      <c r="U281" s="602" t="s">
        <v>359</v>
      </c>
      <c r="V281" s="88" t="s">
        <v>360</v>
      </c>
      <c r="W281" s="88" t="s">
        <v>361</v>
      </c>
      <c r="X281" s="88" t="s">
        <v>362</v>
      </c>
      <c r="Y281" s="88" t="s">
        <v>363</v>
      </c>
      <c r="Z281" s="88" t="s">
        <v>364</v>
      </c>
      <c r="AA281" s="603" t="s">
        <v>365</v>
      </c>
      <c r="AB281" s="735" t="s">
        <v>458</v>
      </c>
      <c r="AC281" s="736">
        <f>IF(U282="","",IF(AA282&lt;&gt;0, 6,5))</f>
        <v>6</v>
      </c>
      <c r="AD281" s="50">
        <v>652.4</v>
      </c>
      <c r="AE281" s="51">
        <v>77.009</v>
      </c>
      <c r="AF281" s="52">
        <f t="shared" si="177"/>
        <v>0.1134585161011894</v>
      </c>
    </row>
    <row r="282" spans="1:94" ht="18.75">
      <c r="A282" s="46"/>
      <c r="B282" s="42">
        <f t="shared" si="186"/>
        <v>294</v>
      </c>
      <c r="C282" s="569" t="str">
        <f>IF('Registro Original'!C282 = "", "", 'Registro Original'!C282)</f>
        <v/>
      </c>
      <c r="D282" s="574" t="str">
        <f t="shared" si="187"/>
        <v/>
      </c>
      <c r="E282" s="42">
        <f t="shared" si="188"/>
        <v>290.5</v>
      </c>
      <c r="F282" s="569" t="str">
        <f>IF('Registro Original'!F282 = "", "", 'Registro Original'!F282)</f>
        <v/>
      </c>
      <c r="G282" s="36" t="str">
        <f t="shared" si="189"/>
        <v/>
      </c>
      <c r="U282" s="633">
        <v>2986948741.25914</v>
      </c>
      <c r="V282" s="612">
        <v>-62869725.011247799</v>
      </c>
      <c r="W282" s="612">
        <v>551295.23791257595</v>
      </c>
      <c r="X282" s="612">
        <v>-2577.9051698560102</v>
      </c>
      <c r="Y282" s="612">
        <v>6.77976378876917</v>
      </c>
      <c r="Z282" s="612">
        <v>-9.5083331943897099E-3</v>
      </c>
      <c r="AA282" s="634">
        <v>5.5555554752117999E-6</v>
      </c>
      <c r="AB282" s="737" t="s">
        <v>459</v>
      </c>
      <c r="AC282" s="732">
        <f>IF(AC281="", "",AC281 +1)</f>
        <v>7</v>
      </c>
      <c r="AD282" s="50">
        <v>652.29999999999995</v>
      </c>
      <c r="AE282" s="51">
        <v>76.781999999999996</v>
      </c>
      <c r="AF282" s="52">
        <f t="shared" si="177"/>
        <v>0.11474057966780242</v>
      </c>
    </row>
    <row r="283" spans="1:94" ht="15" customHeight="1">
      <c r="A283" s="590" t="s">
        <v>352</v>
      </c>
      <c r="B283" s="42">
        <f t="shared" si="186"/>
        <v>293</v>
      </c>
      <c r="C283" s="569">
        <f>IF('Registro Original'!C283 = "", "", 'Registro Original'!C283)</f>
        <v>0.182</v>
      </c>
      <c r="D283" s="574" t="str">
        <f t="shared" si="187"/>
        <v/>
      </c>
      <c r="E283" s="42">
        <f t="shared" si="188"/>
        <v>290</v>
      </c>
      <c r="F283" s="569">
        <f>IF('Registro Original'!F283 = "", "", 'Registro Original'!F283)</f>
        <v>0.189</v>
      </c>
      <c r="G283" s="36" t="str">
        <f t="shared" si="189"/>
        <v/>
      </c>
      <c r="U283" s="606" t="s">
        <v>373</v>
      </c>
      <c r="V283" s="607" t="s">
        <v>369</v>
      </c>
      <c r="W283" s="601" t="s">
        <v>375</v>
      </c>
      <c r="X283" s="601" t="s">
        <v>367</v>
      </c>
      <c r="Y283" s="601" t="s">
        <v>368</v>
      </c>
      <c r="Z283" s="635" t="s">
        <v>370</v>
      </c>
      <c r="AA283" s="636" t="s">
        <v>369</v>
      </c>
      <c r="AB283" s="737" t="s">
        <v>460</v>
      </c>
      <c r="AC283" s="605">
        <f xml:space="preserve"> 1.00000003063896</f>
        <v>1.00000003063896</v>
      </c>
      <c r="AD283" s="50">
        <v>652.20000000000005</v>
      </c>
      <c r="AE283" s="51">
        <v>76.600999999999999</v>
      </c>
      <c r="AF283" s="52">
        <f t="shared" si="177"/>
        <v>0.11576556076364794</v>
      </c>
    </row>
    <row r="284" spans="1:94" ht="15" customHeight="1">
      <c r="A284" s="65"/>
      <c r="B284" s="42">
        <f t="shared" si="186"/>
        <v>292</v>
      </c>
      <c r="C284" s="569">
        <f>IF('Registro Original'!C284 = "", "", 'Registro Original'!C284)</f>
        <v>0.20300000000000001</v>
      </c>
      <c r="D284" s="574" t="str">
        <f t="shared" si="187"/>
        <v/>
      </c>
      <c r="E284" s="42">
        <f t="shared" si="188"/>
        <v>289.5</v>
      </c>
      <c r="F284" s="569">
        <f>IF('Registro Original'!F284 = "", "", 'Registro Original'!F284)</f>
        <v>0.21</v>
      </c>
      <c r="G284" s="36" t="str">
        <f t="shared" si="189"/>
        <v/>
      </c>
      <c r="U284" s="608">
        <v>1</v>
      </c>
      <c r="V284" s="624">
        <v>288.7</v>
      </c>
      <c r="W284" s="604">
        <f xml:space="preserve"> $U$282 + $V$282*(V284) + $W$282*(V284^2) + $X$282*(V284^3) + $Y$282*(V284^4) + $Z$282*(V284^5) + $AA$282*(V284^6)</f>
        <v>0.27323389053344727</v>
      </c>
      <c r="X284" s="604">
        <f xml:space="preserve"> ($V$282 +  2*$W$282*(V284) +  3*$X$282*(V284^2) + 4*$Y$282*(V284^3) + 5*$Z$282*(V284^4) + 6*$AA$282*(V284^5))</f>
        <v>2.0553097128868103E-3</v>
      </c>
      <c r="Y284" s="617">
        <f xml:space="preserve"> (2*$W$282 + 6*$X$282*(V284) + 12*$Y$282*(V284^2) + 20*$Z$282*(V284^3) + 30*$AA$282*(V284^4))</f>
        <v>-1.733337203040719E-2</v>
      </c>
      <c r="Z284" s="605">
        <f>V284 - (X284/Y284)</f>
        <v>288.81857529563672</v>
      </c>
      <c r="AA284" s="638">
        <v>288.81542976919781</v>
      </c>
      <c r="AB284" s="738" t="s">
        <v>461</v>
      </c>
      <c r="AC284" s="605">
        <f>IF(AC283="",  "", SQRT(AC283)/(AC282))</f>
        <v>0.14285714504563998</v>
      </c>
      <c r="AD284" s="50">
        <v>652.1</v>
      </c>
      <c r="AE284" s="51">
        <v>76.388999999999996</v>
      </c>
      <c r="AF284" s="52">
        <f t="shared" si="177"/>
        <v>0.11696917523641948</v>
      </c>
    </row>
    <row r="285" spans="1:94">
      <c r="A285" s="65"/>
      <c r="B285" s="42">
        <f t="shared" si="186"/>
        <v>291</v>
      </c>
      <c r="C285" s="569">
        <f>IF('Registro Original'!C285 = "", "", 'Registro Original'!C285)</f>
        <v>0.22700000000000001</v>
      </c>
      <c r="D285" s="574" t="str">
        <f t="shared" si="187"/>
        <v/>
      </c>
      <c r="E285" s="42">
        <f t="shared" si="188"/>
        <v>289</v>
      </c>
      <c r="F285" s="569">
        <f>IF('Registro Original'!F285 = "", "", 'Registro Original'!F285)</f>
        <v>0.23599999999999999</v>
      </c>
      <c r="G285" s="36" t="str">
        <f t="shared" si="189"/>
        <v/>
      </c>
      <c r="U285" s="608">
        <v>2</v>
      </c>
      <c r="V285" s="610">
        <f>Z284</f>
        <v>288.81857529563672</v>
      </c>
      <c r="W285" s="604">
        <f xml:space="preserve"> $U$282 + $V$282*(V285) + $W$282*(V285^2) + $X$282*(V285^3) + $Y$282*(V285^4) + $Z$282*(V285^5) + $AA$282*(V285^6)</f>
        <v>0.27336025238037109</v>
      </c>
      <c r="X285" s="604">
        <f xml:space="preserve"> ($V$282 +  2*$W$282*(V285) +  3*$X$282*(V285^2) + 4*$Y$282*(V285^3) + 5*$Z$282*(V285^4) + 6*$AA$282*(V285^5))</f>
        <v>-5.73769211769104E-5</v>
      </c>
      <c r="Y285" s="617">
        <f xml:space="preserve"> (2*$W$282 + 6*$X$282*(V285) + 12*$Y$282*(V285^2) + 20*$Z$282*(V285^3) + 30*$AA$282*(V285^4))</f>
        <v>-1.8291665241122246E-2</v>
      </c>
      <c r="Z285" s="605">
        <f>V285 - (X285/Y285)</f>
        <v>288.8154385161024</v>
      </c>
      <c r="AA285" s="620" t="s">
        <v>371</v>
      </c>
      <c r="AB285" s="738" t="s">
        <v>463</v>
      </c>
      <c r="AC285" s="732">
        <f>COUNT(U282,U292)</f>
        <v>2</v>
      </c>
      <c r="AD285" s="50">
        <v>652</v>
      </c>
      <c r="AE285" s="51">
        <v>76.182000000000002</v>
      </c>
      <c r="AF285" s="52">
        <f t="shared" si="177"/>
        <v>0.11814763002684193</v>
      </c>
    </row>
    <row r="286" spans="1:94" ht="15" customHeight="1">
      <c r="A286" s="65"/>
      <c r="B286" s="42">
        <f t="shared" si="186"/>
        <v>290</v>
      </c>
      <c r="C286" s="569">
        <f>IF('Registro Original'!C286 = "", "", 'Registro Original'!C286)</f>
        <v>0.25900000000000001</v>
      </c>
      <c r="D286" s="574" t="str">
        <f t="shared" si="187"/>
        <v/>
      </c>
      <c r="E286" s="42">
        <f t="shared" si="188"/>
        <v>288.5</v>
      </c>
      <c r="F286" s="569">
        <f>IF('Registro Original'!F286 = "", "", 'Registro Original'!F286)</f>
        <v>0.26600000000000001</v>
      </c>
      <c r="G286" s="36" t="str">
        <f t="shared" si="189"/>
        <v/>
      </c>
      <c r="U286" s="608">
        <v>3</v>
      </c>
      <c r="V286" s="610">
        <f t="shared" ref="V286:V290" si="192">Z285</f>
        <v>288.8154385161024</v>
      </c>
      <c r="W286" s="604">
        <f t="shared" ref="W286:W290" si="193" xml:space="preserve"> $U$282 + $V$282*(V286) + $W$282*(V286^2) + $X$282*(V286^3) + $Y$282*(V286^4) + $Z$282*(V286^5) + $AA$282*(V286^6)</f>
        <v>0.2733612060546875</v>
      </c>
      <c r="X286" s="604">
        <f t="shared" ref="X286:X290" si="194" xml:space="preserve"> ($V$282 +  2*$W$282*(V286) +  3*$X$282*(V286^2) + 4*$Y$282*(V286^3) + 5*$Z$282*(V286^4) + 6*$AA$282*(V286^5))</f>
        <v>-8.1956386566162109E-8</v>
      </c>
      <c r="Y286" s="617">
        <f t="shared" ref="Y286:Y290" si="195" xml:space="preserve"> (2*$W$282 + 6*$X$282*(V286) + 12*$Y$282*(V286^2) + 20*$Z$282*(V286^3) + 30*$AA$282*(V286^4))</f>
        <v>-1.8267057603225112E-2</v>
      </c>
      <c r="Z286" s="605">
        <f t="shared" ref="Z286:Z290" si="196">V286 - (X286/Y286)</f>
        <v>288.81543402953491</v>
      </c>
      <c r="AA286" s="637">
        <f xml:space="preserve"> ($V$282 +  2*$W$282*(AA284) +  3*$X$282*(AA284^2) + 4*$Y$282*(AA284^3) + 5*$Z$282*(AA284^4) + 6*$AA$282*(AA284^5))</f>
        <v>7.4505805969238281E-9</v>
      </c>
      <c r="AB286" s="739" t="s">
        <v>462</v>
      </c>
      <c r="AC286" s="634">
        <f>IF(AC284="", "", AC284/SQRT(AC285))</f>
        <v>0.10101525600272222</v>
      </c>
      <c r="AD286" s="50">
        <v>651.9</v>
      </c>
      <c r="AE286" s="51">
        <v>75.991</v>
      </c>
      <c r="AF286" s="52">
        <f t="shared" si="177"/>
        <v>0.11923784037432242</v>
      </c>
    </row>
    <row r="287" spans="1:94">
      <c r="A287" s="65"/>
      <c r="B287" s="42">
        <f t="shared" si="186"/>
        <v>289</v>
      </c>
      <c r="C287" s="569">
        <f>IF('Registro Original'!C287 = "", "", 'Registro Original'!C287)</f>
        <v>0.27300000000000002</v>
      </c>
      <c r="D287" s="574" t="str">
        <f t="shared" si="187"/>
        <v/>
      </c>
      <c r="E287" s="42">
        <f t="shared" si="188"/>
        <v>288</v>
      </c>
      <c r="F287" s="569">
        <f>IF('Registro Original'!F287 = "", "", 'Registro Original'!F287)</f>
        <v>0.27400000000000002</v>
      </c>
      <c r="G287" s="36" t="str">
        <f t="shared" si="189"/>
        <v/>
      </c>
      <c r="U287" s="608">
        <v>4</v>
      </c>
      <c r="V287" s="610">
        <f t="shared" si="192"/>
        <v>288.81543402953491</v>
      </c>
      <c r="W287" s="604">
        <f t="shared" si="193"/>
        <v>0.27335405349731445</v>
      </c>
      <c r="X287" s="604">
        <f t="shared" si="194"/>
        <v>7.4505805969238281E-8</v>
      </c>
      <c r="Y287" s="617">
        <f t="shared" si="195"/>
        <v>-1.8267022212967277E-2</v>
      </c>
      <c r="Z287" s="605">
        <f t="shared" si="196"/>
        <v>288.81543810824053</v>
      </c>
      <c r="AA287" s="621"/>
      <c r="AD287" s="50">
        <v>651.79999999999995</v>
      </c>
      <c r="AE287" s="51">
        <v>75.677999999999997</v>
      </c>
      <c r="AF287" s="52">
        <f t="shared" si="177"/>
        <v>0.12103035388481988</v>
      </c>
    </row>
    <row r="288" spans="1:94">
      <c r="A288" s="59" t="s">
        <v>348</v>
      </c>
      <c r="B288" s="42">
        <f>IF(ISNUMBER($G$45),B289+$G$45,"")</f>
        <v>288</v>
      </c>
      <c r="C288" s="569">
        <f>IF('Registro Original'!C288 = "", "", 'Registro Original'!C288)</f>
        <v>0.26800000000000002</v>
      </c>
      <c r="D288" s="574" t="str">
        <f t="shared" si="187"/>
        <v/>
      </c>
      <c r="E288" s="42">
        <f>IF(ISNUMBER($G$45),E289+$K$45,"")</f>
        <v>287.5</v>
      </c>
      <c r="F288" s="569">
        <f>IF('Registro Original'!F288 = "", "", 'Registro Original'!F288)</f>
        <v>0.26300000000000001</v>
      </c>
      <c r="G288" s="36" t="str">
        <f t="shared" si="189"/>
        <v/>
      </c>
      <c r="U288" s="608">
        <v>5</v>
      </c>
      <c r="V288" s="610">
        <f t="shared" si="192"/>
        <v>288.81543810824053</v>
      </c>
      <c r="W288" s="604">
        <f t="shared" si="193"/>
        <v>0.27335977554321289</v>
      </c>
      <c r="X288" s="604">
        <f t="shared" si="194"/>
        <v>-4.4703483581542969E-8</v>
      </c>
      <c r="Y288" s="617">
        <f t="shared" si="195"/>
        <v>-1.8267054110765457E-2</v>
      </c>
      <c r="Z288" s="605">
        <f t="shared" si="196"/>
        <v>288.81543566102141</v>
      </c>
      <c r="AA288" s="621"/>
      <c r="AD288" s="50">
        <v>651.70000000000005</v>
      </c>
      <c r="AE288" s="51">
        <v>75.421999999999997</v>
      </c>
      <c r="AF288" s="52">
        <f t="shared" si="177"/>
        <v>0.12250195539039176</v>
      </c>
    </row>
    <row r="289" spans="1:94">
      <c r="A289" s="45">
        <v>287.3</v>
      </c>
      <c r="B289" s="121">
        <v>287</v>
      </c>
      <c r="C289" s="569">
        <f>IF('Registro Original'!C289 = "", "", 'Registro Original'!C289)</f>
        <v>0.251</v>
      </c>
      <c r="D289" s="574" t="str">
        <f>IF(C289&lt;&gt;"",IF(C289 = LARGE($C$277:$C$301,1), C289, ""), "")</f>
        <v/>
      </c>
      <c r="E289" s="121">
        <f>B289</f>
        <v>287</v>
      </c>
      <c r="F289" s="569">
        <f>IF('Registro Original'!F289 = "", "", 'Registro Original'!F289)</f>
        <v>0.24399999999999999</v>
      </c>
      <c r="G289" s="36" t="str">
        <f>IF(F289 &lt;&gt;"", IF(F289 = LARGE($F$277:$F$301,1), F289, ""), "")</f>
        <v/>
      </c>
      <c r="U289" s="608">
        <v>6</v>
      </c>
      <c r="V289" s="610">
        <f t="shared" si="192"/>
        <v>288.81543566102141</v>
      </c>
      <c r="W289" s="604">
        <f t="shared" si="193"/>
        <v>0.27336454391479492</v>
      </c>
      <c r="X289" s="604">
        <f t="shared" si="194"/>
        <v>0</v>
      </c>
      <c r="Y289" s="617">
        <f t="shared" si="195"/>
        <v>-1.8267035717144608E-2</v>
      </c>
      <c r="Z289" s="605">
        <f t="shared" si="196"/>
        <v>288.81543566102141</v>
      </c>
      <c r="AA289" s="621"/>
      <c r="AD289" s="50">
        <v>651.6</v>
      </c>
      <c r="AE289" s="51">
        <v>75.147999999999996</v>
      </c>
      <c r="AF289" s="52">
        <f t="shared" si="177"/>
        <v>0.12408257330091982</v>
      </c>
    </row>
    <row r="290" spans="1:94" ht="15.75" thickBot="1">
      <c r="A290" s="65"/>
      <c r="B290" s="42">
        <f>IF(ISNUMBER($G$45),B289-$G$45,"")</f>
        <v>286</v>
      </c>
      <c r="C290" s="569">
        <f>IF('Registro Original'!C290 = "", "", 'Registro Original'!C290)</f>
        <v>0.224</v>
      </c>
      <c r="D290" s="574" t="str">
        <f t="shared" ref="D290:D301" si="197">IF(C290&lt;&gt;"",IF(C290 = LARGE($C$277:$C$301,1), C290, ""), "")</f>
        <v/>
      </c>
      <c r="E290" s="42">
        <f>IF(ISNUMBER($G$45),E289-$K$45,"")</f>
        <v>286.5</v>
      </c>
      <c r="F290" s="569">
        <f>IF('Registro Original'!F290 = "", "", 'Registro Original'!F290)</f>
        <v>0.217</v>
      </c>
      <c r="G290" s="36" t="str">
        <f t="shared" ref="G290:G301" si="198">IF(F290 &lt;&gt;"", IF(F290 = LARGE($F$277:$F$301,1), F290, ""), "")</f>
        <v/>
      </c>
      <c r="U290" s="611">
        <v>7</v>
      </c>
      <c r="V290" s="657">
        <f t="shared" si="192"/>
        <v>288.81543566102141</v>
      </c>
      <c r="W290" s="612">
        <f t="shared" si="193"/>
        <v>0.27336454391479492</v>
      </c>
      <c r="X290" s="612">
        <f t="shared" si="194"/>
        <v>0</v>
      </c>
      <c r="Y290" s="618">
        <f t="shared" si="195"/>
        <v>-1.8267035717144608E-2</v>
      </c>
      <c r="Z290" s="634">
        <f t="shared" si="196"/>
        <v>288.81543566102141</v>
      </c>
      <c r="AA290" s="622"/>
      <c r="AD290" s="50">
        <v>651.5</v>
      </c>
      <c r="AE290" s="51">
        <v>74.950999999999993</v>
      </c>
      <c r="AF290" s="52">
        <f t="shared" si="177"/>
        <v>0.12522256839829418</v>
      </c>
    </row>
    <row r="291" spans="1:94" ht="18">
      <c r="A291" s="65"/>
      <c r="B291" s="42">
        <f t="shared" ref="B291:B301" si="199">IF(ISNUMBER($G$45),B290-$G$45,"")</f>
        <v>285</v>
      </c>
      <c r="C291" s="569">
        <f>IF('Registro Original'!C291 = "", "", 'Registro Original'!C291)</f>
        <v>0.20599999999999999</v>
      </c>
      <c r="D291" s="574" t="str">
        <f t="shared" si="197"/>
        <v/>
      </c>
      <c r="E291" s="42">
        <f t="shared" ref="E291:E301" si="200">IF(ISNUMBER($G$45),E290-$K$45,"")</f>
        <v>286</v>
      </c>
      <c r="F291" s="569">
        <f>IF('Registro Original'!F291 = "", "", 'Registro Original'!F291)</f>
        <v>0.20399999999999999</v>
      </c>
      <c r="G291" s="36" t="str">
        <f t="shared" si="198"/>
        <v/>
      </c>
      <c r="U291" s="602" t="s">
        <v>359</v>
      </c>
      <c r="V291" s="88" t="s">
        <v>360</v>
      </c>
      <c r="W291" s="88" t="s">
        <v>361</v>
      </c>
      <c r="X291" s="88" t="s">
        <v>362</v>
      </c>
      <c r="Y291" s="88" t="s">
        <v>363</v>
      </c>
      <c r="Z291" s="88" t="s">
        <v>364</v>
      </c>
      <c r="AA291" s="603" t="s">
        <v>365</v>
      </c>
      <c r="AB291" s="735" t="s">
        <v>458</v>
      </c>
      <c r="AC291" s="736">
        <f>IF(U292="","",IF(AA292&lt;&gt;0, 6,5))</f>
        <v>6</v>
      </c>
      <c r="AD291" s="50">
        <v>651.4</v>
      </c>
      <c r="AE291" s="51">
        <v>74.765000000000001</v>
      </c>
      <c r="AF291" s="52">
        <f t="shared" si="177"/>
        <v>0.12630166235208765</v>
      </c>
    </row>
    <row r="292" spans="1:94">
      <c r="A292" s="65"/>
      <c r="B292" s="42">
        <f t="shared" si="199"/>
        <v>284</v>
      </c>
      <c r="C292" s="569">
        <f>IF('Registro Original'!C292 = "", "", 'Registro Original'!C292)</f>
        <v>0.20399999999999999</v>
      </c>
      <c r="D292" s="574" t="str">
        <f t="shared" si="197"/>
        <v/>
      </c>
      <c r="E292" s="42">
        <f t="shared" si="200"/>
        <v>285.5</v>
      </c>
      <c r="F292" s="569">
        <f>IF('Registro Original'!F292 = "", "", 'Registro Original'!F292)</f>
        <v>0.20599999999999999</v>
      </c>
      <c r="G292" s="36" t="str">
        <f t="shared" si="198"/>
        <v/>
      </c>
      <c r="U292" s="633">
        <v>1284671925.5497799</v>
      </c>
      <c r="V292" s="612">
        <v>-27818104.713978</v>
      </c>
      <c r="W292" s="612">
        <v>250589.08170596199</v>
      </c>
      <c r="X292" s="612">
        <v>-1202.1456539685701</v>
      </c>
      <c r="Y292" s="612">
        <v>3.2395277449626301</v>
      </c>
      <c r="Z292" s="612">
        <v>-4.6499999547790997E-3</v>
      </c>
      <c r="AA292" s="634">
        <v>2.7777777518167602E-6</v>
      </c>
      <c r="AB292" s="737" t="s">
        <v>459</v>
      </c>
      <c r="AC292" s="732">
        <f>IF(AC291="", "",AC291 +1)</f>
        <v>7</v>
      </c>
      <c r="AD292" s="50">
        <v>651.29999999999995</v>
      </c>
      <c r="AE292" s="51">
        <v>74.548000000000002</v>
      </c>
      <c r="AF292" s="52">
        <f t="shared" si="177"/>
        <v>0.12756400346001556</v>
      </c>
    </row>
    <row r="293" spans="1:94" ht="18">
      <c r="A293" s="65"/>
      <c r="B293" s="42">
        <f t="shared" si="199"/>
        <v>283</v>
      </c>
      <c r="C293" s="569">
        <f>IF('Registro Original'!C293 = "", "", 'Registro Original'!C293)</f>
        <v>0.222</v>
      </c>
      <c r="D293" s="574" t="str">
        <f t="shared" si="197"/>
        <v/>
      </c>
      <c r="E293" s="42">
        <f t="shared" si="200"/>
        <v>285</v>
      </c>
      <c r="F293" s="569">
        <f>IF('Registro Original'!F293 = "", "", 'Registro Original'!F293)</f>
        <v>0.23100000000000001</v>
      </c>
      <c r="G293" s="36" t="str">
        <f t="shared" si="198"/>
        <v/>
      </c>
      <c r="U293" s="606" t="s">
        <v>373</v>
      </c>
      <c r="V293" s="607" t="s">
        <v>369</v>
      </c>
      <c r="W293" s="601" t="s">
        <v>375</v>
      </c>
      <c r="X293" s="601" t="s">
        <v>367</v>
      </c>
      <c r="Y293" s="601" t="s">
        <v>368</v>
      </c>
      <c r="Z293" s="635" t="s">
        <v>370</v>
      </c>
      <c r="AA293" s="636" t="s">
        <v>369</v>
      </c>
      <c r="AB293" s="737" t="s">
        <v>460</v>
      </c>
      <c r="AC293" s="605">
        <f xml:space="preserve"> 1.00000014454222</f>
        <v>1.00000014454222</v>
      </c>
      <c r="AD293" s="50">
        <v>651.20000000000005</v>
      </c>
      <c r="AE293" s="51">
        <v>74.320999999999998</v>
      </c>
      <c r="AF293" s="52">
        <f t="shared" si="177"/>
        <v>0.12888845547889072</v>
      </c>
    </row>
    <row r="294" spans="1:94">
      <c r="A294" s="65"/>
      <c r="B294" s="42">
        <f t="shared" si="199"/>
        <v>282</v>
      </c>
      <c r="C294" s="569">
        <f>IF('Registro Original'!C294 = "", "", 'Registro Original'!C294)</f>
        <v>0.253</v>
      </c>
      <c r="D294" s="574" t="str">
        <f t="shared" si="197"/>
        <v/>
      </c>
      <c r="E294" s="42">
        <f t="shared" si="200"/>
        <v>284.5</v>
      </c>
      <c r="F294" s="569">
        <f>IF('Registro Original'!F294 = "", "", 'Registro Original'!F294)</f>
        <v>0.26400000000000001</v>
      </c>
      <c r="G294" s="36" t="str">
        <f t="shared" si="198"/>
        <v/>
      </c>
      <c r="U294" s="608">
        <v>1</v>
      </c>
      <c r="V294" s="642">
        <v>289.22000000000003</v>
      </c>
      <c r="W294" s="604">
        <f xml:space="preserve"> $U$292 + $V$292*(V294) + $W$292*(V294^2) + $X$292*(V294^3) + $Y$292*(V294^4) + $Z$292*(V294^5) + $AA$292*(V294^6)</f>
        <v>0.27430820465087891</v>
      </c>
      <c r="X294" s="604">
        <f xml:space="preserve"> ($V$292 +  2*$W$292*(V294) +  3*$X$292*(V294^2) + 4*$Y$292*(V294^3) + 5*$Z$292*(V294^4) + 6*$AA$292*(V294^5))</f>
        <v>-1.2625306844711304E-3</v>
      </c>
      <c r="Y294" s="617">
        <f xml:space="preserve"> (2*$W$292 + 6*$X$292*(V294) + 12*$Y$292*(V294^2) + 20*$Z$292*(V294^3) + 30*$AA$292*(V294^4))</f>
        <v>-2.2063215496018529E-2</v>
      </c>
      <c r="Z294" s="605">
        <f>V294 - (X294/Y294)</f>
        <v>289.16277666894484</v>
      </c>
      <c r="AA294" s="639">
        <v>289.16201002499423</v>
      </c>
      <c r="AB294" s="738" t="s">
        <v>461</v>
      </c>
      <c r="AC294" s="605">
        <f>IF(AC293="",  "", SQRT(AC293)/(AC292))</f>
        <v>0.14285715318158676</v>
      </c>
      <c r="AD294" s="50">
        <v>651.1</v>
      </c>
      <c r="AE294" s="51">
        <v>74.102000000000004</v>
      </c>
      <c r="AF294" s="52">
        <f t="shared" si="177"/>
        <v>0.1301700703304941</v>
      </c>
    </row>
    <row r="295" spans="1:94">
      <c r="A295" s="590" t="s">
        <v>351</v>
      </c>
      <c r="B295" s="42">
        <f t="shared" si="199"/>
        <v>281</v>
      </c>
      <c r="C295" s="569">
        <f>IF('Registro Original'!C295 = "", "", 'Registro Original'!C295)</f>
        <v>0.28799999999999998</v>
      </c>
      <c r="D295" s="574">
        <f t="shared" si="197"/>
        <v>0.28799999999999998</v>
      </c>
      <c r="E295" s="42">
        <f t="shared" si="200"/>
        <v>284</v>
      </c>
      <c r="F295" s="569">
        <f>IF('Registro Original'!F295 = "", "", 'Registro Original'!F295)</f>
        <v>0.29699999999999999</v>
      </c>
      <c r="G295" s="36" t="str">
        <f t="shared" si="198"/>
        <v/>
      </c>
      <c r="U295" s="608">
        <v>2</v>
      </c>
      <c r="V295" s="610">
        <f>Z294</f>
        <v>289.16277666894484</v>
      </c>
      <c r="W295" s="604">
        <f xml:space="preserve"> $U$282 + $V$282*(V295) + $W$282*(V295^2) + $X$282*(V295^3) + $Y$282*(V295^4) + $Z$282*(V295^5) + $AA$282*(V295^6)</f>
        <v>0.27220916748046875</v>
      </c>
      <c r="X295" s="604">
        <f xml:space="preserve"> ($V$282 +  2*$W$282*(V295) +  3*$X$282*(V295^2) + 4*$Y$282*(V295^3) + 5*$Z$282*(V295^4) + 6*$AA$282*(V295^5))</f>
        <v>-6.7773759365081787E-3</v>
      </c>
      <c r="Y295" s="617">
        <f xml:space="preserve"> (2*$W$282 + 6*$X$282*(V295) + 12*$Y$282*(V295^2) + 20*$Z$282*(V295^3) + 30*$AA$282*(V295^4))</f>
        <v>-2.0612911786884069E-2</v>
      </c>
      <c r="Z295" s="605">
        <f>V295 - (X295/Y295)</f>
        <v>288.8339839196924</v>
      </c>
      <c r="AA295" s="620" t="s">
        <v>371</v>
      </c>
      <c r="AB295" s="738" t="s">
        <v>463</v>
      </c>
      <c r="AC295" s="732">
        <f>COUNT(U282,U292)</f>
        <v>2</v>
      </c>
      <c r="AD295" s="50">
        <v>651</v>
      </c>
      <c r="AE295" s="51">
        <v>73.847999999999999</v>
      </c>
      <c r="AF295" s="52">
        <f t="shared" si="177"/>
        <v>0.13166126204093553</v>
      </c>
    </row>
    <row r="296" spans="1:94" ht="16.5">
      <c r="A296" s="65"/>
      <c r="B296" s="42">
        <f t="shared" si="199"/>
        <v>280</v>
      </c>
      <c r="C296" s="569" t="str">
        <f>IF('Registro Original'!C296 = "", "", 'Registro Original'!C296)</f>
        <v/>
      </c>
      <c r="D296" s="574" t="str">
        <f t="shared" si="197"/>
        <v/>
      </c>
      <c r="E296" s="42">
        <f t="shared" si="200"/>
        <v>283.5</v>
      </c>
      <c r="F296" s="569">
        <f>IF('Registro Original'!F296 = "", "", 'Registro Original'!F296)</f>
        <v>0.31900000000000001</v>
      </c>
      <c r="G296" s="36">
        <f t="shared" si="198"/>
        <v>0.31900000000000001</v>
      </c>
      <c r="U296" s="608">
        <v>3</v>
      </c>
      <c r="V296" s="610">
        <f t="shared" ref="V296:V300" si="201">Z295</f>
        <v>288.8339839196924</v>
      </c>
      <c r="W296" s="604">
        <f t="shared" ref="W296:W300" si="202" xml:space="preserve"> $U$282 + $V$282*(V296) + $W$282*(V296^2) + $X$282*(V296^3) + $Y$282*(V296^4) + $Z$282*(V296^5) + $AA$282*(V296^6)</f>
        <v>0.27336597442626953</v>
      </c>
      <c r="X296" s="604">
        <f t="shared" ref="X296:X300" si="203" xml:space="preserve"> ($V$282 +  2*$W$282*(V296) +  3*$X$282*(V296^2) + 4*$Y$282*(V296^3) + 5*$Z$282*(V296^4) + 6*$AA$282*(V296^5))</f>
        <v>-3.4012645483016968E-4</v>
      </c>
      <c r="Y296" s="617">
        <f t="shared" ref="Y296:Y300" si="204" xml:space="preserve"> (2*$W$282 + 6*$X$282*(V296) + 12*$Y$282*(V296^2) + 20*$Z$282*(V296^3) + 30*$AA$282*(V296^4))</f>
        <v>-1.8411867087706923E-2</v>
      </c>
      <c r="Z296" s="605">
        <f t="shared" ref="Z296:Z300" si="205">V296 - (X296/Y296)</f>
        <v>288.81551070058811</v>
      </c>
      <c r="AA296" s="637">
        <f xml:space="preserve"> ($V$292 +  2*$W$292*(AA294) +  3*$X$292*(AA294^2) + 4*$Y$292*(AA294^3) + 5*$Z$292*(AA294^4) + 6*$AA$292*(AA294^5))</f>
        <v>7.4505805969238281E-9</v>
      </c>
      <c r="AB296" s="739" t="s">
        <v>462</v>
      </c>
      <c r="AC296" s="634">
        <f>IF(AC294="", "", AC294/SQRT(AC295))</f>
        <v>0.10101526175570537</v>
      </c>
      <c r="AD296" s="50">
        <v>650.9</v>
      </c>
      <c r="AE296" s="51">
        <v>73.634</v>
      </c>
      <c r="AF296" s="52">
        <f t="shared" si="177"/>
        <v>0.13292160682001664</v>
      </c>
    </row>
    <row r="297" spans="1:94">
      <c r="A297" s="65"/>
      <c r="B297" s="42">
        <f t="shared" si="199"/>
        <v>279</v>
      </c>
      <c r="C297" s="569" t="str">
        <f>IF('Registro Original'!C297 = "", "", 'Registro Original'!C297)</f>
        <v/>
      </c>
      <c r="D297" s="574" t="str">
        <f t="shared" si="197"/>
        <v/>
      </c>
      <c r="E297" s="42">
        <f t="shared" si="200"/>
        <v>283</v>
      </c>
      <c r="F297" s="569" t="str">
        <f>IF('Registro Original'!F297 = "", "", 'Registro Original'!F297)</f>
        <v/>
      </c>
      <c r="G297" s="36" t="str">
        <f t="shared" si="198"/>
        <v/>
      </c>
      <c r="L297" s="22"/>
      <c r="U297" s="608">
        <v>4</v>
      </c>
      <c r="V297" s="610">
        <f t="shared" si="201"/>
        <v>288.81551070058811</v>
      </c>
      <c r="W297" s="604">
        <f t="shared" si="202"/>
        <v>0.27336025238037109</v>
      </c>
      <c r="X297" s="604">
        <f t="shared" si="203"/>
        <v>-1.4007091522216797E-6</v>
      </c>
      <c r="Y297" s="617">
        <f t="shared" si="204"/>
        <v>-1.8267624545842409E-2</v>
      </c>
      <c r="Z297" s="605">
        <f t="shared" si="205"/>
        <v>288.81543402345096</v>
      </c>
      <c r="AA297" s="621"/>
      <c r="AD297" s="50">
        <v>650.79999999999995</v>
      </c>
      <c r="AE297" s="51">
        <v>73.400000000000006</v>
      </c>
      <c r="AF297" s="52">
        <f t="shared" si="177"/>
        <v>0.1343039400839294</v>
      </c>
    </row>
    <row r="298" spans="1:94">
      <c r="A298" s="65"/>
      <c r="B298" s="42">
        <f t="shared" si="199"/>
        <v>278</v>
      </c>
      <c r="C298" s="569" t="str">
        <f>IF('Registro Original'!C298 = "", "", 'Registro Original'!C298)</f>
        <v/>
      </c>
      <c r="D298" s="574" t="str">
        <f t="shared" si="197"/>
        <v/>
      </c>
      <c r="E298" s="42">
        <f t="shared" si="200"/>
        <v>282.5</v>
      </c>
      <c r="F298" s="569" t="str">
        <f>IF('Registro Original'!F298 = "", "", 'Registro Original'!F298)</f>
        <v/>
      </c>
      <c r="G298" s="36" t="str">
        <f t="shared" si="198"/>
        <v/>
      </c>
      <c r="L298" s="22"/>
      <c r="U298" s="608">
        <v>5</v>
      </c>
      <c r="V298" s="610">
        <f t="shared" si="201"/>
        <v>288.81543402345096</v>
      </c>
      <c r="W298" s="604">
        <f t="shared" si="202"/>
        <v>0.27335739135742188</v>
      </c>
      <c r="X298" s="604">
        <f t="shared" si="203"/>
        <v>0</v>
      </c>
      <c r="Y298" s="617">
        <f t="shared" si="204"/>
        <v>-1.8267021514475346E-2</v>
      </c>
      <c r="Z298" s="605">
        <f t="shared" si="205"/>
        <v>288.81543402345096</v>
      </c>
      <c r="AA298" s="621"/>
      <c r="AD298" s="50">
        <v>650.70000000000005</v>
      </c>
      <c r="AE298" s="51">
        <v>73.119</v>
      </c>
      <c r="AF298" s="52">
        <f t="shared" si="177"/>
        <v>0.13596975679079595</v>
      </c>
    </row>
    <row r="299" spans="1:94">
      <c r="A299" s="65"/>
      <c r="B299" s="42">
        <f t="shared" si="199"/>
        <v>277</v>
      </c>
      <c r="C299" s="569" t="str">
        <f>IF('Registro Original'!C299 = "", "", 'Registro Original'!C299)</f>
        <v/>
      </c>
      <c r="D299" s="574" t="str">
        <f t="shared" si="197"/>
        <v/>
      </c>
      <c r="E299" s="42">
        <f t="shared" si="200"/>
        <v>282</v>
      </c>
      <c r="F299" s="569" t="str">
        <f>IF('Registro Original'!F299 = "", "", 'Registro Original'!F299)</f>
        <v/>
      </c>
      <c r="G299" s="36" t="str">
        <f t="shared" si="198"/>
        <v/>
      </c>
      <c r="U299" s="608">
        <v>6</v>
      </c>
      <c r="V299" s="610">
        <f t="shared" si="201"/>
        <v>288.81543402345096</v>
      </c>
      <c r="W299" s="604">
        <f t="shared" si="202"/>
        <v>0.27335739135742188</v>
      </c>
      <c r="X299" s="604">
        <f t="shared" si="203"/>
        <v>0</v>
      </c>
      <c r="Y299" s="617">
        <f t="shared" si="204"/>
        <v>-1.8267021514475346E-2</v>
      </c>
      <c r="Z299" s="605">
        <f t="shared" si="205"/>
        <v>288.81543402345096</v>
      </c>
      <c r="AA299" s="621"/>
      <c r="AD299" s="50">
        <v>650.6</v>
      </c>
      <c r="AE299" s="51">
        <v>72.861999999999995</v>
      </c>
      <c r="AF299" s="52">
        <f t="shared" si="177"/>
        <v>0.13749891191591623</v>
      </c>
    </row>
    <row r="300" spans="1:94" ht="14.25" customHeight="1">
      <c r="A300" s="65"/>
      <c r="B300" s="42">
        <f t="shared" si="199"/>
        <v>276</v>
      </c>
      <c r="C300" s="569" t="str">
        <f>IF('Registro Original'!C300 = "", "", 'Registro Original'!C300)</f>
        <v/>
      </c>
      <c r="D300" s="574" t="str">
        <f t="shared" si="197"/>
        <v/>
      </c>
      <c r="E300" s="42">
        <f t="shared" si="200"/>
        <v>281.5</v>
      </c>
      <c r="F300" s="569" t="str">
        <f>IF('Registro Original'!F300 = "", "", 'Registro Original'!F300)</f>
        <v/>
      </c>
      <c r="G300" s="36" t="str">
        <f t="shared" si="198"/>
        <v/>
      </c>
      <c r="U300" s="611">
        <v>7</v>
      </c>
      <c r="V300" s="658">
        <f t="shared" si="201"/>
        <v>288.81543402345096</v>
      </c>
      <c r="W300" s="612">
        <f t="shared" si="202"/>
        <v>0.27335739135742188</v>
      </c>
      <c r="X300" s="612">
        <f t="shared" si="203"/>
        <v>0</v>
      </c>
      <c r="Y300" s="618">
        <f t="shared" si="204"/>
        <v>-1.8267021514475346E-2</v>
      </c>
      <c r="Z300" s="634">
        <f t="shared" si="205"/>
        <v>288.81543402345096</v>
      </c>
      <c r="AA300" s="622"/>
      <c r="AD300" s="50">
        <v>650.5</v>
      </c>
      <c r="AE300" s="51">
        <v>72.632000000000005</v>
      </c>
      <c r="AF300" s="52">
        <f t="shared" si="177"/>
        <v>0.13887199690971946</v>
      </c>
    </row>
    <row r="301" spans="1:94" ht="15.75" thickBot="1">
      <c r="A301" s="66"/>
      <c r="B301" s="47">
        <f t="shared" si="199"/>
        <v>275</v>
      </c>
      <c r="C301" s="570" t="str">
        <f>IF('Registro Original'!C301 = "", "", 'Registro Original'!C301)</f>
        <v/>
      </c>
      <c r="D301" s="575" t="str">
        <f t="shared" si="197"/>
        <v/>
      </c>
      <c r="E301" s="47">
        <f t="shared" si="200"/>
        <v>281</v>
      </c>
      <c r="F301" s="570" t="str">
        <f>IF('Registro Original'!F301 = "", "", 'Registro Original'!F301)</f>
        <v/>
      </c>
      <c r="G301" s="571" t="str">
        <f t="shared" si="198"/>
        <v/>
      </c>
      <c r="AD301" s="50">
        <v>650.4</v>
      </c>
      <c r="AE301" s="51">
        <v>72.42</v>
      </c>
      <c r="AF301" s="52">
        <f t="shared" si="177"/>
        <v>0.1401414795190071</v>
      </c>
    </row>
    <row r="302" spans="1:94" ht="15.75" thickTop="1">
      <c r="A302" s="65"/>
      <c r="B302" s="42">
        <f t="shared" ref="B302:B312" si="206">IF(ISNUMBER($G$45),B303+$G$45,"")</f>
        <v>291</v>
      </c>
      <c r="C302" s="568" t="str">
        <f>IF('Registro Original'!C302 = "", "", 'Registro Original'!C302)</f>
        <v/>
      </c>
      <c r="D302" s="574" t="str">
        <f t="shared" ref="D302:D313" si="207">IF(C302&lt;&gt;"",IF(C302 = LARGE($C$302:$C$326,1), C302, ""), "")</f>
        <v/>
      </c>
      <c r="E302" s="42">
        <f t="shared" ref="E302:E312" si="208">IF(ISNUMBER($G$45),E303+$K$45,"")</f>
        <v>285</v>
      </c>
      <c r="F302" s="568" t="str">
        <f>IF('Registro Original'!F302 = "", "", 'Registro Original'!F302)</f>
        <v/>
      </c>
      <c r="G302" s="36" t="str">
        <f t="shared" ref="G302:G313" si="209">IF(F302 &lt;&gt;"", IF(F302 = LARGE($F$302:$F$326,1), F302, ""), "")</f>
        <v/>
      </c>
      <c r="L302" s="36"/>
      <c r="U302" s="103" t="s">
        <v>88</v>
      </c>
      <c r="V302" s="104" t="s">
        <v>89</v>
      </c>
      <c r="W302" s="105" t="s">
        <v>90</v>
      </c>
      <c r="X302" s="104" t="s">
        <v>91</v>
      </c>
      <c r="Y302" s="106" t="s">
        <v>96</v>
      </c>
      <c r="Z302" s="626" t="s">
        <v>378</v>
      </c>
      <c r="AA302" s="627" t="s">
        <v>379</v>
      </c>
      <c r="AB302" s="627" t="s">
        <v>380</v>
      </c>
      <c r="AC302" s="632" t="s">
        <v>381</v>
      </c>
      <c r="AD302" s="50">
        <v>650.29999999999995</v>
      </c>
      <c r="AE302" s="51">
        <v>72.162999999999997</v>
      </c>
      <c r="AF302" s="52">
        <f t="shared" si="177"/>
        <v>0.14168542036130261</v>
      </c>
    </row>
    <row r="303" spans="1:94" ht="15.75" thickBot="1">
      <c r="A303" s="65"/>
      <c r="B303" s="42">
        <f t="shared" si="206"/>
        <v>290</v>
      </c>
      <c r="C303" s="569" t="str">
        <f>IF('Registro Original'!C303 = "", "", 'Registro Original'!C303)</f>
        <v/>
      </c>
      <c r="D303" s="574" t="str">
        <f t="shared" si="207"/>
        <v/>
      </c>
      <c r="E303" s="42">
        <f t="shared" si="208"/>
        <v>284.5</v>
      </c>
      <c r="F303" s="569" t="str">
        <f>IF('Registro Original'!F303 = "", "", 'Registro Original'!F303)</f>
        <v/>
      </c>
      <c r="G303" s="36" t="str">
        <f t="shared" si="209"/>
        <v/>
      </c>
      <c r="L303" s="36"/>
      <c r="U303" s="644">
        <v>277</v>
      </c>
      <c r="V303" s="643">
        <v>0.29849999999999999</v>
      </c>
      <c r="W303" s="645">
        <v>279.3</v>
      </c>
      <c r="X303" s="643">
        <v>0.52080000000000004</v>
      </c>
      <c r="Y303" s="646">
        <f>(V303 + X303)/2</f>
        <v>0.40965000000000001</v>
      </c>
      <c r="Z303" s="630">
        <f>AC303 - AB303</f>
        <v>1.6000000000000227</v>
      </c>
      <c r="AA303" s="628">
        <f>X303 - Y303</f>
        <v>0.11115000000000003</v>
      </c>
      <c r="AB303" s="629">
        <v>278.5</v>
      </c>
      <c r="AC303" s="631">
        <v>280.10000000000002</v>
      </c>
      <c r="AD303" s="50">
        <v>650.20000000000005</v>
      </c>
      <c r="AE303" s="51">
        <v>72.007999999999996</v>
      </c>
      <c r="AF303" s="52">
        <f t="shared" si="177"/>
        <v>0.14261925130692946</v>
      </c>
    </row>
    <row r="304" spans="1:94" ht="15.75" thickBot="1">
      <c r="A304" s="65"/>
      <c r="B304" s="42">
        <f t="shared" si="206"/>
        <v>289</v>
      </c>
      <c r="C304" s="569" t="str">
        <f>IF('Registro Original'!C304 = "", "", 'Registro Original'!C304)</f>
        <v/>
      </c>
      <c r="D304" s="574" t="str">
        <f t="shared" si="207"/>
        <v/>
      </c>
      <c r="E304" s="42">
        <f t="shared" si="208"/>
        <v>284</v>
      </c>
      <c r="F304" s="569" t="str">
        <f>IF('Registro Original'!F304 = "", "", 'Registro Original'!F304)</f>
        <v/>
      </c>
      <c r="G304" s="36" t="str">
        <f t="shared" si="209"/>
        <v/>
      </c>
      <c r="AD304" s="50">
        <v>650.1</v>
      </c>
      <c r="AE304" s="51">
        <v>71.814999999999998</v>
      </c>
      <c r="AF304" s="52">
        <f t="shared" si="177"/>
        <v>0.14378483518878646</v>
      </c>
      <c r="AG304" s="746" t="s">
        <v>95</v>
      </c>
      <c r="AH304" s="50">
        <v>273.5</v>
      </c>
      <c r="AI304" s="50">
        <f t="shared" ref="AI304:CP304" si="210">AH304+0.2</f>
        <v>273.7</v>
      </c>
      <c r="AJ304" s="50">
        <f t="shared" si="210"/>
        <v>273.89999999999998</v>
      </c>
      <c r="AK304" s="50">
        <f t="shared" si="210"/>
        <v>274.09999999999997</v>
      </c>
      <c r="AL304" s="50">
        <f t="shared" si="210"/>
        <v>274.29999999999995</v>
      </c>
      <c r="AM304" s="50">
        <f t="shared" si="210"/>
        <v>274.49999999999994</v>
      </c>
      <c r="AN304" s="50">
        <f t="shared" si="210"/>
        <v>274.69999999999993</v>
      </c>
      <c r="AO304" s="50">
        <f t="shared" si="210"/>
        <v>274.89999999999992</v>
      </c>
      <c r="AP304" s="50">
        <f t="shared" si="210"/>
        <v>275.09999999999991</v>
      </c>
      <c r="AQ304" s="50">
        <f t="shared" si="210"/>
        <v>275.2999999999999</v>
      </c>
      <c r="AR304" s="50">
        <f t="shared" si="210"/>
        <v>275.49999999999989</v>
      </c>
      <c r="AS304" s="50">
        <f t="shared" si="210"/>
        <v>275.69999999999987</v>
      </c>
      <c r="AT304" s="50">
        <f t="shared" si="210"/>
        <v>275.89999999999986</v>
      </c>
      <c r="AU304" s="50">
        <f t="shared" si="210"/>
        <v>276.09999999999985</v>
      </c>
      <c r="AV304" s="50">
        <f t="shared" si="210"/>
        <v>276.29999999999984</v>
      </c>
      <c r="AW304" s="50">
        <f t="shared" si="210"/>
        <v>276.49999999999983</v>
      </c>
      <c r="AX304" s="50">
        <f t="shared" si="210"/>
        <v>276.69999999999982</v>
      </c>
      <c r="AY304" s="50">
        <f t="shared" si="210"/>
        <v>276.89999999999981</v>
      </c>
      <c r="AZ304" s="50">
        <f t="shared" si="210"/>
        <v>277.0999999999998</v>
      </c>
      <c r="BA304" s="50">
        <f t="shared" si="210"/>
        <v>277.29999999999978</v>
      </c>
      <c r="BB304" s="50">
        <f t="shared" si="210"/>
        <v>277.49999999999977</v>
      </c>
      <c r="BC304" s="50">
        <f t="shared" si="210"/>
        <v>277.69999999999976</v>
      </c>
      <c r="BD304" s="50">
        <f t="shared" si="210"/>
        <v>277.89999999999975</v>
      </c>
      <c r="BE304" s="50">
        <f t="shared" si="210"/>
        <v>278.09999999999974</v>
      </c>
      <c r="BF304" s="50">
        <f t="shared" si="210"/>
        <v>278.29999999999973</v>
      </c>
      <c r="BG304" s="50">
        <f t="shared" si="210"/>
        <v>278.49999999999972</v>
      </c>
      <c r="BH304" s="50">
        <f t="shared" si="210"/>
        <v>278.6999999999997</v>
      </c>
      <c r="BI304" s="50">
        <f t="shared" si="210"/>
        <v>278.89999999999969</v>
      </c>
      <c r="BJ304" s="50">
        <f t="shared" si="210"/>
        <v>279.09999999999968</v>
      </c>
      <c r="BK304" s="50">
        <f t="shared" si="210"/>
        <v>279.29999999999967</v>
      </c>
      <c r="BL304" s="50">
        <f t="shared" si="210"/>
        <v>279.49999999999966</v>
      </c>
      <c r="BM304" s="50">
        <f t="shared" si="210"/>
        <v>279.69999999999965</v>
      </c>
      <c r="BN304" s="50">
        <f t="shared" si="210"/>
        <v>279.89999999999964</v>
      </c>
      <c r="BO304" s="50">
        <f t="shared" si="210"/>
        <v>280.09999999999962</v>
      </c>
      <c r="BP304" s="50">
        <f t="shared" si="210"/>
        <v>280.29999999999961</v>
      </c>
      <c r="BQ304" s="50">
        <f t="shared" si="210"/>
        <v>280.4999999999996</v>
      </c>
      <c r="BR304" s="50">
        <f t="shared" si="210"/>
        <v>280.69999999999959</v>
      </c>
      <c r="BS304" s="50">
        <f t="shared" si="210"/>
        <v>280.89999999999958</v>
      </c>
      <c r="BT304" s="50">
        <f t="shared" si="210"/>
        <v>281.09999999999957</v>
      </c>
      <c r="BU304" s="50">
        <f t="shared" si="210"/>
        <v>281.29999999999956</v>
      </c>
      <c r="BV304" s="50">
        <f t="shared" si="210"/>
        <v>281.49999999999955</v>
      </c>
      <c r="BW304" s="50">
        <f t="shared" si="210"/>
        <v>281.69999999999953</v>
      </c>
      <c r="BX304" s="50">
        <f t="shared" si="210"/>
        <v>281.89999999999952</v>
      </c>
      <c r="BY304" s="50">
        <f t="shared" si="210"/>
        <v>282.09999999999951</v>
      </c>
      <c r="BZ304" s="50">
        <f t="shared" si="210"/>
        <v>282.2999999999995</v>
      </c>
      <c r="CA304" s="50">
        <f t="shared" si="210"/>
        <v>282.49999999999949</v>
      </c>
      <c r="CB304" s="50">
        <f t="shared" si="210"/>
        <v>282.69999999999948</v>
      </c>
      <c r="CC304" s="50">
        <f t="shared" si="210"/>
        <v>282.89999999999947</v>
      </c>
      <c r="CD304" s="50">
        <f t="shared" si="210"/>
        <v>283.09999999999945</v>
      </c>
      <c r="CE304" s="50">
        <f t="shared" si="210"/>
        <v>283.29999999999944</v>
      </c>
      <c r="CF304" s="50">
        <f t="shared" si="210"/>
        <v>283.49999999999943</v>
      </c>
      <c r="CG304" s="50">
        <f t="shared" si="210"/>
        <v>283.69999999999942</v>
      </c>
      <c r="CH304" s="50">
        <f t="shared" si="210"/>
        <v>283.89999999999941</v>
      </c>
      <c r="CI304" s="50">
        <f t="shared" si="210"/>
        <v>284.0999999999994</v>
      </c>
      <c r="CJ304" s="50">
        <f t="shared" si="210"/>
        <v>284.29999999999939</v>
      </c>
      <c r="CK304" s="50">
        <f t="shared" si="210"/>
        <v>284.49999999999937</v>
      </c>
      <c r="CL304" s="50">
        <f t="shared" si="210"/>
        <v>284.69999999999936</v>
      </c>
      <c r="CM304" s="50">
        <f t="shared" si="210"/>
        <v>284.89999999999935</v>
      </c>
      <c r="CN304" s="50">
        <f t="shared" si="210"/>
        <v>285.09999999999934</v>
      </c>
      <c r="CO304" s="50">
        <f t="shared" si="210"/>
        <v>285.29999999999933</v>
      </c>
      <c r="CP304" s="50">
        <f t="shared" si="210"/>
        <v>285.49999999999932</v>
      </c>
    </row>
    <row r="305" spans="1:94" ht="15.75" thickBot="1">
      <c r="A305" s="65"/>
      <c r="B305" s="42">
        <f t="shared" si="206"/>
        <v>288</v>
      </c>
      <c r="C305" s="569" t="str">
        <f>IF('Registro Original'!C305 = "", "", 'Registro Original'!C305)</f>
        <v/>
      </c>
      <c r="D305" s="574" t="str">
        <f t="shared" si="207"/>
        <v/>
      </c>
      <c r="E305" s="42">
        <f t="shared" si="208"/>
        <v>283.5</v>
      </c>
      <c r="F305" s="569" t="str">
        <f>IF('Registro Original'!F305 = "", "", 'Registro Original'!F305)</f>
        <v/>
      </c>
      <c r="G305" s="36" t="str">
        <f t="shared" si="209"/>
        <v/>
      </c>
      <c r="U305" s="822" t="s">
        <v>374</v>
      </c>
      <c r="V305" s="823"/>
      <c r="W305" s="823"/>
      <c r="X305" s="823"/>
      <c r="Y305" s="823"/>
      <c r="Z305" s="823"/>
      <c r="AA305" s="824"/>
      <c r="AC305" s="640" t="s">
        <v>349</v>
      </c>
      <c r="AD305" s="50">
        <v>650</v>
      </c>
      <c r="AE305" s="51">
        <v>71.668999999999997</v>
      </c>
      <c r="AF305" s="52">
        <f t="shared" si="177"/>
        <v>0.14466865521389424</v>
      </c>
      <c r="AG305" s="746"/>
      <c r="AH305" s="52">
        <f>$Y303</f>
        <v>0.40965000000000001</v>
      </c>
      <c r="AI305" s="52">
        <f t="shared" ref="AI305:CP305" si="211">AH305</f>
        <v>0.40965000000000001</v>
      </c>
      <c r="AJ305" s="52">
        <f t="shared" si="211"/>
        <v>0.40965000000000001</v>
      </c>
      <c r="AK305" s="52">
        <f t="shared" si="211"/>
        <v>0.40965000000000001</v>
      </c>
      <c r="AL305" s="52">
        <f t="shared" si="211"/>
        <v>0.40965000000000001</v>
      </c>
      <c r="AM305" s="52">
        <f t="shared" si="211"/>
        <v>0.40965000000000001</v>
      </c>
      <c r="AN305" s="52">
        <f t="shared" si="211"/>
        <v>0.40965000000000001</v>
      </c>
      <c r="AO305" s="52">
        <f t="shared" si="211"/>
        <v>0.40965000000000001</v>
      </c>
      <c r="AP305" s="52">
        <f t="shared" si="211"/>
        <v>0.40965000000000001</v>
      </c>
      <c r="AQ305" s="52">
        <f t="shared" si="211"/>
        <v>0.40965000000000001</v>
      </c>
      <c r="AR305" s="52">
        <f t="shared" si="211"/>
        <v>0.40965000000000001</v>
      </c>
      <c r="AS305" s="52">
        <f t="shared" si="211"/>
        <v>0.40965000000000001</v>
      </c>
      <c r="AT305" s="52">
        <f t="shared" si="211"/>
        <v>0.40965000000000001</v>
      </c>
      <c r="AU305" s="52">
        <f t="shared" si="211"/>
        <v>0.40965000000000001</v>
      </c>
      <c r="AV305" s="52">
        <f t="shared" si="211"/>
        <v>0.40965000000000001</v>
      </c>
      <c r="AW305" s="52">
        <f t="shared" si="211"/>
        <v>0.40965000000000001</v>
      </c>
      <c r="AX305" s="52">
        <f t="shared" si="211"/>
        <v>0.40965000000000001</v>
      </c>
      <c r="AY305" s="52">
        <f t="shared" si="211"/>
        <v>0.40965000000000001</v>
      </c>
      <c r="AZ305" s="52">
        <f t="shared" si="211"/>
        <v>0.40965000000000001</v>
      </c>
      <c r="BA305" s="52">
        <f t="shared" si="211"/>
        <v>0.40965000000000001</v>
      </c>
      <c r="BB305" s="52">
        <f t="shared" si="211"/>
        <v>0.40965000000000001</v>
      </c>
      <c r="BC305" s="52">
        <f t="shared" si="211"/>
        <v>0.40965000000000001</v>
      </c>
      <c r="BD305" s="52">
        <f t="shared" si="211"/>
        <v>0.40965000000000001</v>
      </c>
      <c r="BE305" s="52">
        <f t="shared" si="211"/>
        <v>0.40965000000000001</v>
      </c>
      <c r="BF305" s="52">
        <f t="shared" si="211"/>
        <v>0.40965000000000001</v>
      </c>
      <c r="BG305" s="52">
        <f t="shared" si="211"/>
        <v>0.40965000000000001</v>
      </c>
      <c r="BH305" s="52">
        <f t="shared" si="211"/>
        <v>0.40965000000000001</v>
      </c>
      <c r="BI305" s="52">
        <f t="shared" si="211"/>
        <v>0.40965000000000001</v>
      </c>
      <c r="BJ305" s="52">
        <f t="shared" si="211"/>
        <v>0.40965000000000001</v>
      </c>
      <c r="BK305" s="52">
        <f t="shared" si="211"/>
        <v>0.40965000000000001</v>
      </c>
      <c r="BL305" s="52">
        <f t="shared" si="211"/>
        <v>0.40965000000000001</v>
      </c>
      <c r="BM305" s="52">
        <f t="shared" si="211"/>
        <v>0.40965000000000001</v>
      </c>
      <c r="BN305" s="52">
        <f t="shared" si="211"/>
        <v>0.40965000000000001</v>
      </c>
      <c r="BO305" s="52">
        <f t="shared" si="211"/>
        <v>0.40965000000000001</v>
      </c>
      <c r="BP305" s="52">
        <f t="shared" si="211"/>
        <v>0.40965000000000001</v>
      </c>
      <c r="BQ305" s="52">
        <f t="shared" si="211"/>
        <v>0.40965000000000001</v>
      </c>
      <c r="BR305" s="52">
        <f t="shared" si="211"/>
        <v>0.40965000000000001</v>
      </c>
      <c r="BS305" s="52">
        <f t="shared" si="211"/>
        <v>0.40965000000000001</v>
      </c>
      <c r="BT305" s="52">
        <f t="shared" si="211"/>
        <v>0.40965000000000001</v>
      </c>
      <c r="BU305" s="52">
        <f t="shared" si="211"/>
        <v>0.40965000000000001</v>
      </c>
      <c r="BV305" s="52">
        <f t="shared" si="211"/>
        <v>0.40965000000000001</v>
      </c>
      <c r="BW305" s="52">
        <f t="shared" si="211"/>
        <v>0.40965000000000001</v>
      </c>
      <c r="BX305" s="52">
        <f t="shared" si="211"/>
        <v>0.40965000000000001</v>
      </c>
      <c r="BY305" s="52">
        <f t="shared" si="211"/>
        <v>0.40965000000000001</v>
      </c>
      <c r="BZ305" s="52">
        <f t="shared" si="211"/>
        <v>0.40965000000000001</v>
      </c>
      <c r="CA305" s="52">
        <f t="shared" si="211"/>
        <v>0.40965000000000001</v>
      </c>
      <c r="CB305" s="52">
        <f t="shared" si="211"/>
        <v>0.40965000000000001</v>
      </c>
      <c r="CC305" s="52">
        <f t="shared" si="211"/>
        <v>0.40965000000000001</v>
      </c>
      <c r="CD305" s="52">
        <f t="shared" si="211"/>
        <v>0.40965000000000001</v>
      </c>
      <c r="CE305" s="52">
        <f t="shared" si="211"/>
        <v>0.40965000000000001</v>
      </c>
      <c r="CF305" s="52">
        <f t="shared" si="211"/>
        <v>0.40965000000000001</v>
      </c>
      <c r="CG305" s="52">
        <f t="shared" si="211"/>
        <v>0.40965000000000001</v>
      </c>
      <c r="CH305" s="52">
        <f t="shared" si="211"/>
        <v>0.40965000000000001</v>
      </c>
      <c r="CI305" s="52">
        <f t="shared" si="211"/>
        <v>0.40965000000000001</v>
      </c>
      <c r="CJ305" s="52">
        <f t="shared" si="211"/>
        <v>0.40965000000000001</v>
      </c>
      <c r="CK305" s="52">
        <f t="shared" si="211"/>
        <v>0.40965000000000001</v>
      </c>
      <c r="CL305" s="52">
        <f t="shared" si="211"/>
        <v>0.40965000000000001</v>
      </c>
      <c r="CM305" s="52">
        <f t="shared" si="211"/>
        <v>0.40965000000000001</v>
      </c>
      <c r="CN305" s="52">
        <f t="shared" si="211"/>
        <v>0.40965000000000001</v>
      </c>
      <c r="CO305" s="52">
        <f t="shared" si="211"/>
        <v>0.40965000000000001</v>
      </c>
      <c r="CP305" s="52">
        <f t="shared" si="211"/>
        <v>0.40965000000000001</v>
      </c>
    </row>
    <row r="306" spans="1:94" ht="19.5">
      <c r="A306" s="46"/>
      <c r="B306" s="42">
        <f t="shared" si="206"/>
        <v>287</v>
      </c>
      <c r="C306" s="569" t="str">
        <f>IF('Registro Original'!C306 = "", "", 'Registro Original'!C306)</f>
        <v/>
      </c>
      <c r="D306" s="574" t="str">
        <f t="shared" si="207"/>
        <v/>
      </c>
      <c r="E306" s="42">
        <f t="shared" si="208"/>
        <v>283</v>
      </c>
      <c r="F306" s="569" t="str">
        <f>IF('Registro Original'!F306 = "", "", 'Registro Original'!F306)</f>
        <v/>
      </c>
      <c r="G306" s="36" t="str">
        <f t="shared" si="209"/>
        <v/>
      </c>
      <c r="U306" s="602" t="s">
        <v>359</v>
      </c>
      <c r="V306" s="88" t="s">
        <v>360</v>
      </c>
      <c r="W306" s="88" t="s">
        <v>361</v>
      </c>
      <c r="X306" s="88" t="s">
        <v>362</v>
      </c>
      <c r="Y306" s="88" t="s">
        <v>363</v>
      </c>
      <c r="Z306" s="88" t="s">
        <v>364</v>
      </c>
      <c r="AA306" s="603" t="s">
        <v>365</v>
      </c>
      <c r="AB306" s="735" t="s">
        <v>458</v>
      </c>
      <c r="AC306" s="736">
        <f>IF(U307="","",IF(AA307&lt;&gt;0, 6,5))</f>
        <v>6</v>
      </c>
      <c r="AD306" s="50">
        <v>649.9</v>
      </c>
      <c r="AE306" s="51">
        <v>71.47</v>
      </c>
      <c r="AF306" s="52">
        <f t="shared" si="177"/>
        <v>0.14587621789883293</v>
      </c>
    </row>
    <row r="307" spans="1:94" ht="18.75">
      <c r="A307" s="46"/>
      <c r="B307" s="42">
        <f t="shared" si="206"/>
        <v>286</v>
      </c>
      <c r="C307" s="569" t="str">
        <f>IF('Registro Original'!C307 = "", "", 'Registro Original'!C307)</f>
        <v/>
      </c>
      <c r="D307" s="574" t="str">
        <f t="shared" si="207"/>
        <v/>
      </c>
      <c r="E307" s="42">
        <f t="shared" si="208"/>
        <v>282.5</v>
      </c>
      <c r="F307" s="569" t="str">
        <f>IF('Registro Original'!F307 = "", "", 'Registro Original'!F307)</f>
        <v/>
      </c>
      <c r="G307" s="36" t="str">
        <f t="shared" si="209"/>
        <v/>
      </c>
      <c r="U307" s="633">
        <v>14284278543.5452</v>
      </c>
      <c r="V307" s="612">
        <v>-307647682.44243801</v>
      </c>
      <c r="W307" s="612">
        <v>2760804.3063298701</v>
      </c>
      <c r="X307" s="612">
        <v>-13213.387326149101</v>
      </c>
      <c r="Y307" s="612">
        <v>35.572388757943799</v>
      </c>
      <c r="Z307" s="612">
        <v>-5.1074999812811897E-2</v>
      </c>
      <c r="AA307" s="634">
        <v>3.0555555444067302E-5</v>
      </c>
      <c r="AB307" s="737" t="s">
        <v>459</v>
      </c>
      <c r="AC307" s="732">
        <f>IF(AC306="", "",AC306 +1)</f>
        <v>7</v>
      </c>
      <c r="AD307" s="50">
        <v>649.79999999999995</v>
      </c>
      <c r="AE307" s="51">
        <v>71.322999999999993</v>
      </c>
      <c r="AF307" s="52">
        <f t="shared" si="177"/>
        <v>0.14677039774508077</v>
      </c>
    </row>
    <row r="308" spans="1:94" ht="18">
      <c r="A308" s="590" t="s">
        <v>352</v>
      </c>
      <c r="B308" s="42">
        <f t="shared" si="206"/>
        <v>285</v>
      </c>
      <c r="C308" s="569">
        <f>IF('Registro Original'!C308 = "", "", 'Registro Original'!C308)</f>
        <v>0.20599999999999999</v>
      </c>
      <c r="D308" s="574" t="str">
        <f t="shared" si="207"/>
        <v/>
      </c>
      <c r="E308" s="42">
        <f t="shared" si="208"/>
        <v>282</v>
      </c>
      <c r="F308" s="569">
        <f>IF('Registro Original'!F308 = "", "", 'Registro Original'!F308)</f>
        <v>0.20399999999999999</v>
      </c>
      <c r="G308" s="36" t="str">
        <f t="shared" si="209"/>
        <v/>
      </c>
      <c r="U308" s="606" t="s">
        <v>373</v>
      </c>
      <c r="V308" s="607" t="s">
        <v>369</v>
      </c>
      <c r="W308" s="601" t="s">
        <v>375</v>
      </c>
      <c r="X308" s="601" t="s">
        <v>367</v>
      </c>
      <c r="Y308" s="601" t="s">
        <v>368</v>
      </c>
      <c r="Z308" s="635" t="s">
        <v>370</v>
      </c>
      <c r="AA308" s="636" t="s">
        <v>369</v>
      </c>
      <c r="AB308" s="737" t="s">
        <v>460</v>
      </c>
      <c r="AC308" s="605">
        <f xml:space="preserve"> 1.0000004948953</f>
        <v>1.0000004948953001</v>
      </c>
      <c r="AD308" s="50">
        <v>649.70000000000005</v>
      </c>
      <c r="AE308" s="51">
        <v>71.153999999999996</v>
      </c>
      <c r="AF308" s="52">
        <f t="shared" si="177"/>
        <v>0.14780068055372333</v>
      </c>
    </row>
    <row r="309" spans="1:94">
      <c r="A309" s="65"/>
      <c r="B309" s="42">
        <f t="shared" si="206"/>
        <v>284</v>
      </c>
      <c r="C309" s="569">
        <f>IF('Registro Original'!C309 = "", "", 'Registro Original'!C309)</f>
        <v>0.20399999999999999</v>
      </c>
      <c r="D309" s="574" t="str">
        <f t="shared" si="207"/>
        <v/>
      </c>
      <c r="E309" s="42">
        <f t="shared" si="208"/>
        <v>281.5</v>
      </c>
      <c r="F309" s="569">
        <f>IF('Registro Original'!F309 = "", "", 'Registro Original'!F309)</f>
        <v>0.20599999999999999</v>
      </c>
      <c r="G309" s="36" t="str">
        <f t="shared" si="209"/>
        <v/>
      </c>
      <c r="U309" s="608">
        <v>1</v>
      </c>
      <c r="V309" s="624">
        <v>278.92</v>
      </c>
      <c r="W309" s="604">
        <f xml:space="preserve"> $U$307 + $V$307*(V309) + $W$307*(V309^2) + $X$307*(V309^3) + $Y$307*(V309^4) + $Z$307*(V309^5) + $AA$307*(V309^6)</f>
        <v>0.31905364990234375</v>
      </c>
      <c r="X309" s="604">
        <f xml:space="preserve"> ($V$307 +  2*$W$307*(V309) +  3*$X$307*(V309^2) + 4*$Y$307*(V309^3) + 5*$Z$307*(V309^4) + 6*$AA$307*(V309^5))</f>
        <v>5.2015781402587891E-3</v>
      </c>
      <c r="Y309" s="617">
        <f xml:space="preserve"> (2*$W$307 + 6*$X$307*(V309) + 12*$Y$307*(V309^2) + 20*$Z$307*(V309^3) + 30*$AA$307*(V309^4))</f>
        <v>-1.4068160206079483E-2</v>
      </c>
      <c r="Z309" s="605">
        <f>V309 - (X309/Y309)</f>
        <v>279.28974117895041</v>
      </c>
      <c r="AA309" s="638">
        <v>279.25149268771162</v>
      </c>
      <c r="AB309" s="738" t="s">
        <v>461</v>
      </c>
      <c r="AC309" s="605">
        <f>IF(AC308="",  "", SQRT(AC308)/(AC307))</f>
        <v>0.1428571782068028</v>
      </c>
      <c r="AD309" s="50">
        <v>649.6</v>
      </c>
      <c r="AE309" s="51">
        <v>71.027000000000001</v>
      </c>
      <c r="AF309" s="52">
        <f t="shared" si="177"/>
        <v>0.14857652843593547</v>
      </c>
    </row>
    <row r="310" spans="1:94">
      <c r="A310" s="65"/>
      <c r="B310" s="42">
        <f t="shared" si="206"/>
        <v>283</v>
      </c>
      <c r="C310" s="569">
        <f>IF('Registro Original'!C310 = "", "", 'Registro Original'!C310)</f>
        <v>0.222</v>
      </c>
      <c r="D310" s="574" t="str">
        <f t="shared" si="207"/>
        <v/>
      </c>
      <c r="E310" s="42">
        <f t="shared" si="208"/>
        <v>281</v>
      </c>
      <c r="F310" s="569">
        <f>IF('Registro Original'!F310 = "", "", 'Registro Original'!F310)</f>
        <v>0.23100000000000001</v>
      </c>
      <c r="G310" s="36" t="str">
        <f t="shared" si="209"/>
        <v/>
      </c>
      <c r="U310" s="608">
        <v>2</v>
      </c>
      <c r="V310" s="610">
        <f>Z309</f>
        <v>279.28974117895041</v>
      </c>
      <c r="W310" s="604">
        <f xml:space="preserve"> $U$307 + $V$307*(V310) + $W$307*(V310^2) + $X$307*(V310^3) + $Y$307*(V310^4) + $Z$307*(V310^5) + $AA$307*(V310^6)</f>
        <v>0.31987762451171875</v>
      </c>
      <c r="X310" s="604">
        <f xml:space="preserve"> ($V$307 +  2*$W$307*(V310) +  3*$X$307*(V310^2) + 4*$Y$307*(V310^3) + 5*$Z$307*(V310^4) + 6*$AA$307*(V310^5))</f>
        <v>-6.7067146301269531E-4</v>
      </c>
      <c r="Y310" s="617">
        <f xml:space="preserve"> (2*$W$307 + 6*$X$307*(V310) + 12*$Y$307*(V310^2) + 20*$Z$307*(V310^3) + 30*$AA$307*(V310^4))</f>
        <v>-1.7732865177094936E-2</v>
      </c>
      <c r="Z310" s="605">
        <f>V310 - (X310/Y310)</f>
        <v>279.25192036114601</v>
      </c>
      <c r="AA310" s="620" t="s">
        <v>371</v>
      </c>
      <c r="AB310" s="738" t="s">
        <v>463</v>
      </c>
      <c r="AC310" s="732">
        <f>COUNT(U307,U317)</f>
        <v>2</v>
      </c>
      <c r="AD310" s="50">
        <v>649.5</v>
      </c>
      <c r="AE310" s="51">
        <v>70.900000000000006</v>
      </c>
      <c r="AF310" s="52">
        <f t="shared" si="177"/>
        <v>0.14935376481693341</v>
      </c>
    </row>
    <row r="311" spans="1:94" ht="16.5">
      <c r="A311" s="65"/>
      <c r="B311" s="42">
        <f t="shared" si="206"/>
        <v>282</v>
      </c>
      <c r="C311" s="569">
        <f>IF('Registro Original'!C311 = "", "", 'Registro Original'!C311)</f>
        <v>0.253</v>
      </c>
      <c r="D311" s="574" t="str">
        <f t="shared" si="207"/>
        <v/>
      </c>
      <c r="E311" s="42">
        <f t="shared" si="208"/>
        <v>280.5</v>
      </c>
      <c r="F311" s="569">
        <f>IF('Registro Original'!F311 = "", "", 'Registro Original'!F311)</f>
        <v>0.26400000000000001</v>
      </c>
      <c r="G311" s="36" t="str">
        <f t="shared" si="209"/>
        <v/>
      </c>
      <c r="U311" s="608">
        <v>3</v>
      </c>
      <c r="V311" s="610">
        <f t="shared" ref="V311:V315" si="212">Z310</f>
        <v>279.25192036114601</v>
      </c>
      <c r="W311" s="604">
        <f t="shared" ref="W311:W315" si="213" xml:space="preserve"> $U$307 + $V$307*(V311) + $W$307*(V311^2) + $X$307*(V311^3) + $Y$307*(V311^4) + $Z$307*(V311^5) + $AA$307*(V311^6)</f>
        <v>0.31989669799804688</v>
      </c>
      <c r="X311" s="604">
        <f t="shared" ref="X311:X315" si="214" xml:space="preserve"> ($V$307 +  2*$W$307*(V311) +  3*$X$307*(V311^2) + 4*$Y$307*(V311^3) + 5*$Z$307*(V311^4) + 6*$AA$307*(V311^5))</f>
        <v>-7.62939453125E-6</v>
      </c>
      <c r="Y311" s="617">
        <f t="shared" ref="Y311:Y315" si="215" xml:space="preserve"> (2*$W$307 + 6*$X$307*(V311) + 12*$Y$307*(V311^2) + 20*$Z$307*(V311^3) + 30*$AA$307*(V311^4))</f>
        <v>-1.735206600278616E-2</v>
      </c>
      <c r="Z311" s="605">
        <f t="shared" ref="Z311:Z315" si="216">V311 - (X311/Y311)</f>
        <v>279.25148067894736</v>
      </c>
      <c r="AA311" s="637">
        <f xml:space="preserve"> ($V$307 +  2*$W$307*(AA309) +  3*$X$307*(AA309^2) + 4*$Y$307*(AA309^3) + 5*$Z$307*(AA309^4) + 6*$AA$307*(AA309^5))</f>
        <v>0</v>
      </c>
      <c r="AB311" s="739" t="s">
        <v>462</v>
      </c>
      <c r="AC311" s="634">
        <f>IF(AC309="", "", AC309/SQRT(AC310))</f>
        <v>0.10101527945120532</v>
      </c>
      <c r="AD311" s="50">
        <v>649.4</v>
      </c>
      <c r="AE311" s="51">
        <v>70.811999999999998</v>
      </c>
      <c r="AF311" s="52">
        <f t="shared" si="177"/>
        <v>0.14989313931337603</v>
      </c>
    </row>
    <row r="312" spans="1:94">
      <c r="A312" s="65"/>
      <c r="B312" s="42">
        <f t="shared" si="206"/>
        <v>281</v>
      </c>
      <c r="C312" s="569">
        <f>IF('Registro Original'!C312 = "", "", 'Registro Original'!C312)</f>
        <v>0.28799999999999998</v>
      </c>
      <c r="D312" s="574" t="str">
        <f t="shared" si="207"/>
        <v/>
      </c>
      <c r="E312" s="42">
        <f t="shared" si="208"/>
        <v>280</v>
      </c>
      <c r="F312" s="569">
        <f>IF('Registro Original'!F312 = "", "", 'Registro Original'!F312)</f>
        <v>0.29699999999999999</v>
      </c>
      <c r="G312" s="36" t="str">
        <f t="shared" si="209"/>
        <v/>
      </c>
      <c r="U312" s="608">
        <v>4</v>
      </c>
      <c r="V312" s="610">
        <f t="shared" si="212"/>
        <v>279.25148067894736</v>
      </c>
      <c r="W312" s="604">
        <f t="shared" si="213"/>
        <v>0.31989860534667969</v>
      </c>
      <c r="X312" s="604">
        <f t="shared" si="214"/>
        <v>0</v>
      </c>
      <c r="Y312" s="617">
        <f t="shared" si="215"/>
        <v>-1.7347635701298714E-2</v>
      </c>
      <c r="Z312" s="605">
        <f t="shared" si="216"/>
        <v>279.25148067894736</v>
      </c>
      <c r="AA312" s="621"/>
      <c r="AD312" s="50">
        <v>649.29999999999995</v>
      </c>
      <c r="AE312" s="51">
        <v>70.731999999999999</v>
      </c>
      <c r="AF312" s="52">
        <f t="shared" si="177"/>
        <v>0.15038406174388275</v>
      </c>
    </row>
    <row r="313" spans="1:94">
      <c r="A313" s="59" t="s">
        <v>349</v>
      </c>
      <c r="B313" s="42">
        <f>IF(ISNUMBER($G$45),B314+$G$45,"")</f>
        <v>280</v>
      </c>
      <c r="C313" s="569">
        <f>IF('Registro Original'!C313 = "", "", 'Registro Original'!C313)</f>
        <v>0.315</v>
      </c>
      <c r="D313" s="574" t="str">
        <f t="shared" si="207"/>
        <v/>
      </c>
      <c r="E313" s="42">
        <f>IF(ISNUMBER($G$45),E314+$K$45,"")</f>
        <v>279.5</v>
      </c>
      <c r="F313" s="569">
        <f>IF('Registro Original'!F313 = "", "", 'Registro Original'!F313)</f>
        <v>0.31900000000000001</v>
      </c>
      <c r="G313" s="36">
        <f t="shared" si="209"/>
        <v>0.31900000000000001</v>
      </c>
      <c r="U313" s="608">
        <v>5</v>
      </c>
      <c r="V313" s="610">
        <f t="shared" si="212"/>
        <v>279.25148067894736</v>
      </c>
      <c r="W313" s="604">
        <f t="shared" si="213"/>
        <v>0.31989860534667969</v>
      </c>
      <c r="X313" s="604">
        <f t="shared" si="214"/>
        <v>0</v>
      </c>
      <c r="Y313" s="617">
        <f t="shared" si="215"/>
        <v>-1.7347635701298714E-2</v>
      </c>
      <c r="Z313" s="605">
        <f t="shared" si="216"/>
        <v>279.25148067894736</v>
      </c>
      <c r="AA313" s="621"/>
      <c r="AD313" s="50">
        <v>649.20000000000005</v>
      </c>
      <c r="AE313" s="51">
        <v>70.635000000000005</v>
      </c>
      <c r="AF313" s="52">
        <f t="shared" si="177"/>
        <v>0.15098005050159624</v>
      </c>
    </row>
    <row r="314" spans="1:94">
      <c r="A314" s="45">
        <v>279.3</v>
      </c>
      <c r="B314" s="121">
        <v>279</v>
      </c>
      <c r="C314" s="569">
        <f>IF('Registro Original'!C314 = "", "", 'Registro Original'!C314)</f>
        <v>0.32</v>
      </c>
      <c r="D314" s="574">
        <f>IF(C314&lt;&gt;"",IF(C314 = LARGE($C$302:$C$326,1), C314, ""), "")</f>
        <v>0.32</v>
      </c>
      <c r="E314" s="121">
        <f>B314</f>
        <v>279</v>
      </c>
      <c r="F314" s="569">
        <f>IF('Registro Original'!F314 = "", "", 'Registro Original'!F314)</f>
        <v>0.31900000000000001</v>
      </c>
      <c r="G314" s="36">
        <f>IF(F314 &lt;&gt;"", IF(F314 = LARGE($F$302:$F$326,1), F314, ""), "")</f>
        <v>0.31900000000000001</v>
      </c>
      <c r="U314" s="608">
        <v>6</v>
      </c>
      <c r="V314" s="610">
        <f t="shared" si="212"/>
        <v>279.25148067894736</v>
      </c>
      <c r="W314" s="604">
        <f t="shared" si="213"/>
        <v>0.31989860534667969</v>
      </c>
      <c r="X314" s="604">
        <f t="shared" si="214"/>
        <v>0</v>
      </c>
      <c r="Y314" s="617">
        <f t="shared" si="215"/>
        <v>-1.7347635701298714E-2</v>
      </c>
      <c r="Z314" s="605">
        <f t="shared" si="216"/>
        <v>279.25148067894736</v>
      </c>
      <c r="AA314" s="621"/>
      <c r="AD314" s="50">
        <v>649.1</v>
      </c>
      <c r="AE314" s="51">
        <v>70.677999999999997</v>
      </c>
      <c r="AF314" s="52">
        <f t="shared" si="177"/>
        <v>0.15071574837372109</v>
      </c>
    </row>
    <row r="315" spans="1:94" ht="15.75" thickBot="1">
      <c r="A315" s="65"/>
      <c r="B315" s="42">
        <f>IF(ISNUMBER($G$45),B314-$G$45,"")</f>
        <v>278</v>
      </c>
      <c r="C315" s="569">
        <f>IF('Registro Original'!C315 = "", "", 'Registro Original'!C315)</f>
        <v>0.31</v>
      </c>
      <c r="D315" s="574" t="str">
        <f t="shared" ref="D315:D326" si="217">IF(C315&lt;&gt;"",IF(C315 = LARGE($C$302:$C$326,1), C315, ""), "")</f>
        <v/>
      </c>
      <c r="E315" s="42">
        <f>IF(ISNUMBER($G$45),E314-$K$45,"")</f>
        <v>278.5</v>
      </c>
      <c r="F315" s="569">
        <f>IF('Registro Original'!F315 = "", "", 'Registro Original'!F315)</f>
        <v>0.30599999999999999</v>
      </c>
      <c r="G315" s="36" t="str">
        <f t="shared" ref="G315:G326" si="218">IF(F315 &lt;&gt;"", IF(F315 = LARGE($F$302:$F$326,1), F315, ""), "")</f>
        <v/>
      </c>
      <c r="U315" s="611">
        <v>7</v>
      </c>
      <c r="V315" s="657">
        <f t="shared" si="212"/>
        <v>279.25148067894736</v>
      </c>
      <c r="W315" s="612">
        <f t="shared" si="213"/>
        <v>0.31989860534667969</v>
      </c>
      <c r="X315" s="612">
        <f t="shared" si="214"/>
        <v>0</v>
      </c>
      <c r="Y315" s="618">
        <f t="shared" si="215"/>
        <v>-1.7347635701298714E-2</v>
      </c>
      <c r="Z315" s="634">
        <f t="shared" si="216"/>
        <v>279.25148067894736</v>
      </c>
      <c r="AA315" s="622"/>
      <c r="AD315" s="50">
        <v>649</v>
      </c>
      <c r="AE315" s="51">
        <v>70.653000000000006</v>
      </c>
      <c r="AF315" s="52">
        <f t="shared" si="177"/>
        <v>0.15086939282767414</v>
      </c>
    </row>
    <row r="316" spans="1:94" ht="18">
      <c r="A316" s="65"/>
      <c r="B316" s="42">
        <f t="shared" ref="B316:B326" si="219">IF(ISNUMBER($G$45),B315-$G$45,"")</f>
        <v>277</v>
      </c>
      <c r="C316" s="569">
        <f>IF('Registro Original'!C316 = "", "", 'Registro Original'!C316)</f>
        <v>0.29299999999999998</v>
      </c>
      <c r="D316" s="574" t="str">
        <f t="shared" si="217"/>
        <v/>
      </c>
      <c r="E316" s="42">
        <f t="shared" ref="E316:E326" si="220">IF(ISNUMBER($G$45),E315-$K$45,"")</f>
        <v>278</v>
      </c>
      <c r="F316" s="569">
        <f>IF('Registro Original'!F316 = "", "", 'Registro Original'!F316)</f>
        <v>0.28899999999999998</v>
      </c>
      <c r="G316" s="36" t="str">
        <f t="shared" si="218"/>
        <v/>
      </c>
      <c r="U316" s="602" t="s">
        <v>359</v>
      </c>
      <c r="V316" s="88" t="s">
        <v>360</v>
      </c>
      <c r="W316" s="88" t="s">
        <v>361</v>
      </c>
      <c r="X316" s="88" t="s">
        <v>362</v>
      </c>
      <c r="Y316" s="88" t="s">
        <v>363</v>
      </c>
      <c r="Z316" s="88" t="s">
        <v>364</v>
      </c>
      <c r="AA316" s="603" t="s">
        <v>365</v>
      </c>
      <c r="AB316" s="735" t="s">
        <v>458</v>
      </c>
      <c r="AC316" s="736">
        <f>IF(U317="","",IF(AA317&lt;&gt;0, 6,5))</f>
        <v>6</v>
      </c>
      <c r="AD316" s="50">
        <v>648.9</v>
      </c>
      <c r="AE316" s="51">
        <v>70.680999999999997</v>
      </c>
      <c r="AF316" s="52">
        <f t="shared" si="177"/>
        <v>0.15069731469145251</v>
      </c>
    </row>
    <row r="317" spans="1:94">
      <c r="A317" s="65"/>
      <c r="B317" s="42">
        <f t="shared" si="219"/>
        <v>276</v>
      </c>
      <c r="C317" s="569">
        <f>IF('Registro Original'!C317 = "", "", 'Registro Original'!C317)</f>
        <v>0.28000000000000003</v>
      </c>
      <c r="D317" s="574" t="str">
        <f t="shared" si="217"/>
        <v/>
      </c>
      <c r="E317" s="42">
        <f t="shared" si="220"/>
        <v>277.5</v>
      </c>
      <c r="F317" s="569">
        <f>IF('Registro Original'!F317 = "", "", 'Registro Original'!F317)</f>
        <v>0.27900000000000003</v>
      </c>
      <c r="G317" s="36" t="str">
        <f t="shared" si="218"/>
        <v/>
      </c>
      <c r="U317" s="633">
        <v>14284031596.864901</v>
      </c>
      <c r="V317" s="612">
        <v>-307644122.042943</v>
      </c>
      <c r="W317" s="612">
        <v>2760785.0586099601</v>
      </c>
      <c r="X317" s="612">
        <v>-13213.3410868711</v>
      </c>
      <c r="Y317" s="612">
        <v>35.572347120168601</v>
      </c>
      <c r="Z317" s="612">
        <v>-5.1074999854336098E-2</v>
      </c>
      <c r="AA317" s="634">
        <v>3.0555555468936297E-5</v>
      </c>
      <c r="AB317" s="737" t="s">
        <v>459</v>
      </c>
      <c r="AC317" s="732">
        <f>IF(AC316="", "",AC316 +1)</f>
        <v>7</v>
      </c>
      <c r="AD317" s="50">
        <v>648.79999999999995</v>
      </c>
      <c r="AE317" s="51">
        <v>70.668000000000006</v>
      </c>
      <c r="AF317" s="52">
        <f t="shared" si="177"/>
        <v>0.15077719963270647</v>
      </c>
    </row>
    <row r="318" spans="1:94" ht="18">
      <c r="A318" s="65"/>
      <c r="B318" s="42">
        <f t="shared" si="219"/>
        <v>275</v>
      </c>
      <c r="C318" s="569">
        <f>IF('Registro Original'!C318 = "", "", 'Registro Original'!C318)</f>
        <v>0.28000000000000003</v>
      </c>
      <c r="D318" s="574" t="str">
        <f t="shared" si="217"/>
        <v/>
      </c>
      <c r="E318" s="42">
        <f t="shared" si="220"/>
        <v>277</v>
      </c>
      <c r="F318" s="569">
        <f>IF('Registro Original'!F318 = "", "", 'Registro Original'!F318)</f>
        <v>0.28000000000000003</v>
      </c>
      <c r="G318" s="36" t="str">
        <f t="shared" si="218"/>
        <v/>
      </c>
      <c r="U318" s="606" t="s">
        <v>373</v>
      </c>
      <c r="V318" s="607" t="s">
        <v>369</v>
      </c>
      <c r="W318" s="601" t="s">
        <v>375</v>
      </c>
      <c r="X318" s="601" t="s">
        <v>367</v>
      </c>
      <c r="Y318" s="601" t="s">
        <v>368</v>
      </c>
      <c r="Z318" s="635" t="s">
        <v>370</v>
      </c>
      <c r="AA318" s="636" t="s">
        <v>369</v>
      </c>
      <c r="AB318" s="737" t="s">
        <v>460</v>
      </c>
      <c r="AC318" s="605">
        <f xml:space="preserve"> 1.00000113264096</f>
        <v>1.0000011326409599</v>
      </c>
      <c r="AD318" s="50">
        <v>648.70000000000005</v>
      </c>
      <c r="AE318" s="51">
        <v>70.73</v>
      </c>
      <c r="AF318" s="52">
        <f t="shared" si="177"/>
        <v>0.15039634191755286</v>
      </c>
    </row>
    <row r="319" spans="1:94">
      <c r="A319" s="65"/>
      <c r="B319" s="42">
        <f t="shared" si="219"/>
        <v>274</v>
      </c>
      <c r="C319" s="569">
        <f>IF('Registro Original'!C319 = "", "", 'Registro Original'!C319)</f>
        <v>0.28299999999999997</v>
      </c>
      <c r="D319" s="574" t="str">
        <f t="shared" si="217"/>
        <v/>
      </c>
      <c r="E319" s="42">
        <f t="shared" si="220"/>
        <v>276.5</v>
      </c>
      <c r="F319" s="569">
        <f>IF('Registro Original'!F319 = "", "", 'Registro Original'!F319)</f>
        <v>0.28399999999999997</v>
      </c>
      <c r="G319" s="36" t="str">
        <f t="shared" si="218"/>
        <v/>
      </c>
      <c r="U319" s="608">
        <v>1</v>
      </c>
      <c r="V319" s="642">
        <v>279.7</v>
      </c>
      <c r="W319" s="604">
        <f xml:space="preserve"> $U$307 + $V$307*(V319) + $W$307*(V319^2) + $X$307*(V319^3) + $Y$307*(V319^4) + $Z$307*(V319^5) + $AA$307*(V319^6)</f>
        <v>0.318084716796875</v>
      </c>
      <c r="X319" s="604">
        <f xml:space="preserve"> ($V$307 +  2*$W$307*(V319) +  3*$X$307*(V319^2) + 4*$Y$307*(V319^3) + 5*$Z$307*(V319^4) + 6*$AA$307*(V319^5))</f>
        <v>-8.762061595916748E-3</v>
      </c>
      <c r="Y319" s="617">
        <f xml:space="preserve"> (2*$W$307 + 6*$X$307*(V319) + 12*$Y$307*(V319^2) + 20*$Z$307*(V319^3) + 30*$AA$307*(V319^4))</f>
        <v>-2.1582639776170254E-2</v>
      </c>
      <c r="Z319" s="605">
        <f>V319 - (X319/Y319)</f>
        <v>279.29402271053095</v>
      </c>
      <c r="AA319" s="639">
        <v>279.52463714847107</v>
      </c>
      <c r="AB319" s="738" t="s">
        <v>461</v>
      </c>
      <c r="AC319" s="605">
        <f>IF(AC318="",  "", SQRT(AC318)/(AC317))</f>
        <v>0.14285722376004564</v>
      </c>
      <c r="AD319" s="50">
        <v>648.6</v>
      </c>
      <c r="AE319" s="51">
        <v>70.745000000000005</v>
      </c>
      <c r="AF319" s="52">
        <f t="shared" si="177"/>
        <v>0.15030424907778669</v>
      </c>
    </row>
    <row r="320" spans="1:94">
      <c r="A320" s="590" t="s">
        <v>351</v>
      </c>
      <c r="B320" s="42">
        <f t="shared" si="219"/>
        <v>273</v>
      </c>
      <c r="C320" s="569">
        <f>IF('Registro Original'!C320 = "", "", 'Registro Original'!C320)</f>
        <v>0.28799999999999998</v>
      </c>
      <c r="D320" s="574" t="str">
        <f t="shared" si="217"/>
        <v/>
      </c>
      <c r="E320" s="42">
        <f t="shared" si="220"/>
        <v>276</v>
      </c>
      <c r="F320" s="569">
        <f>IF('Registro Original'!F320 = "", "", 'Registro Original'!F320)</f>
        <v>0.28999999999999998</v>
      </c>
      <c r="G320" s="36" t="str">
        <f t="shared" si="218"/>
        <v/>
      </c>
      <c r="U320" s="608">
        <v>2</v>
      </c>
      <c r="V320" s="610">
        <f>Z319</f>
        <v>279.29402271053095</v>
      </c>
      <c r="W320" s="604">
        <f xml:space="preserve"> $U$307 + $V$307*(V320) + $W$307*(V320^2) + $X$307*(V320^3) + $Y$307*(V320^4) + $Z$307*(V320^5) + $AA$307*(V320^6)</f>
        <v>0.31991958618164063</v>
      </c>
      <c r="X320" s="604">
        <f xml:space="preserve"> ($V$307 +  2*$W$307*(V320) +  3*$X$307*(V320^2) + 4*$Y$307*(V320^3) + 5*$Z$307*(V320^4) + 6*$AA$307*(V320^5))</f>
        <v>-7.4696540832519531E-4</v>
      </c>
      <c r="Y320" s="617">
        <f xml:space="preserve"> (2*$W$307 + 6*$X$307*(V320) + 12*$Y$307*(V320^2) + 20*$Z$307*(V320^3) + 30*$AA$307*(V320^4))</f>
        <v>-1.7775907181203365E-2</v>
      </c>
      <c r="Z320" s="605">
        <f>V320 - (X320/Y320)</f>
        <v>279.25200148479485</v>
      </c>
      <c r="AA320" s="620" t="s">
        <v>371</v>
      </c>
      <c r="AB320" s="738" t="s">
        <v>463</v>
      </c>
      <c r="AC320" s="732">
        <f>COUNT(U307,U317)</f>
        <v>2</v>
      </c>
      <c r="AD320" s="50">
        <v>648.5</v>
      </c>
      <c r="AE320" s="51">
        <v>70.781999999999996</v>
      </c>
      <c r="AF320" s="52">
        <f t="shared" si="177"/>
        <v>0.15007717019960076</v>
      </c>
    </row>
    <row r="321" spans="1:94" ht="16.5">
      <c r="A321" s="65"/>
      <c r="B321" s="42">
        <f t="shared" si="219"/>
        <v>272</v>
      </c>
      <c r="C321" s="569" t="str">
        <f>IF('Registro Original'!C321 = "", "", 'Registro Original'!C321)</f>
        <v/>
      </c>
      <c r="D321" s="574" t="str">
        <f t="shared" si="217"/>
        <v/>
      </c>
      <c r="E321" s="42">
        <f t="shared" si="220"/>
        <v>275.5</v>
      </c>
      <c r="F321" s="569">
        <f>IF('Registro Original'!F321 = "", "", 'Registro Original'!F321)</f>
        <v>0.29499999999999998</v>
      </c>
      <c r="G321" s="36" t="str">
        <f t="shared" si="218"/>
        <v/>
      </c>
      <c r="U321" s="608">
        <v>3</v>
      </c>
      <c r="V321" s="610">
        <f t="shared" ref="V321:V325" si="221">Z320</f>
        <v>279.25200148479485</v>
      </c>
      <c r="W321" s="604">
        <f t="shared" ref="W321:W325" si="222" xml:space="preserve"> $U$307 + $V$307*(V321) + $W$307*(V321^2) + $X$307*(V321^3) + $Y$307*(V321^4) + $Z$307*(V321^5) + $AA$307*(V321^6)</f>
        <v>0.31991004943847656</v>
      </c>
      <c r="X321" s="604">
        <f t="shared" ref="X321:X325" si="223" xml:space="preserve"> ($V$307 +  2*$W$307*(V321) +  3*$X$307*(V321^2) + 4*$Y$307*(V321^3) + 5*$Z$307*(V321^4) + 6*$AA$307*(V321^5))</f>
        <v>-8.8214874267578125E-6</v>
      </c>
      <c r="Y321" s="617">
        <f t="shared" ref="Y321:Y325" si="224" xml:space="preserve"> (2*$W$307 + 6*$X$307*(V321) + 12*$Y$307*(V321^2) + 20*$Z$307*(V321^3) + 30*$AA$307*(V321^4))</f>
        <v>-1.7352881841361523E-2</v>
      </c>
      <c r="Z321" s="605">
        <f t="shared" ref="Z321:Z325" si="225">V321 - (X321/Y321)</f>
        <v>279.25149312615406</v>
      </c>
      <c r="AA321" s="637">
        <f xml:space="preserve"> ($V$317 +  2*$W$317*(AA319) +  3*$X$317*(AA319^2) + 4*$Y$317*(AA319^3) + 5*$Z$317*(AA319^4) + 6*$AA$317*(AA319^5))</f>
        <v>0</v>
      </c>
      <c r="AB321" s="739" t="s">
        <v>462</v>
      </c>
      <c r="AC321" s="634">
        <f>IF(AC319="", "", AC319/SQRT(AC320))</f>
        <v>0.10101531166221224</v>
      </c>
      <c r="AD321" s="50">
        <v>648.4</v>
      </c>
      <c r="AE321" s="51">
        <v>70.802000000000007</v>
      </c>
      <c r="AF321" s="52">
        <f t="shared" si="177"/>
        <v>0.14995447427780392</v>
      </c>
    </row>
    <row r="322" spans="1:94">
      <c r="A322" s="65"/>
      <c r="B322" s="42">
        <f t="shared" si="219"/>
        <v>271</v>
      </c>
      <c r="C322" s="569" t="str">
        <f>IF('Registro Original'!C322 = "", "", 'Registro Original'!C322)</f>
        <v/>
      </c>
      <c r="D322" s="574" t="str">
        <f t="shared" si="217"/>
        <v/>
      </c>
      <c r="E322" s="42">
        <f t="shared" si="220"/>
        <v>275</v>
      </c>
      <c r="F322" s="569" t="str">
        <f>IF('Registro Original'!F322 = "", "", 'Registro Original'!F322)</f>
        <v/>
      </c>
      <c r="G322" s="36" t="str">
        <f t="shared" si="218"/>
        <v/>
      </c>
      <c r="U322" s="608">
        <v>4</v>
      </c>
      <c r="V322" s="610">
        <f t="shared" si="221"/>
        <v>279.25149312615406</v>
      </c>
      <c r="W322" s="604">
        <f t="shared" si="222"/>
        <v>0.31998062133789063</v>
      </c>
      <c r="X322" s="604">
        <f t="shared" si="223"/>
        <v>0</v>
      </c>
      <c r="Y322" s="617">
        <f t="shared" si="224"/>
        <v>-1.7347762361168861E-2</v>
      </c>
      <c r="Z322" s="605">
        <f t="shared" si="225"/>
        <v>279.25149312615406</v>
      </c>
      <c r="AA322" s="621"/>
      <c r="AD322" s="50">
        <v>648.29999999999995</v>
      </c>
      <c r="AE322" s="51">
        <v>70.852999999999994</v>
      </c>
      <c r="AF322" s="52">
        <f t="shared" si="177"/>
        <v>0.14964175648409306</v>
      </c>
    </row>
    <row r="323" spans="1:94">
      <c r="A323" s="65"/>
      <c r="B323" s="42">
        <f t="shared" si="219"/>
        <v>270</v>
      </c>
      <c r="C323" s="569" t="str">
        <f>IF('Registro Original'!C323 = "", "", 'Registro Original'!C323)</f>
        <v/>
      </c>
      <c r="D323" s="574" t="str">
        <f t="shared" si="217"/>
        <v/>
      </c>
      <c r="E323" s="42">
        <f t="shared" si="220"/>
        <v>274.5</v>
      </c>
      <c r="F323" s="569" t="str">
        <f>IF('Registro Original'!F323 = "", "", 'Registro Original'!F323)</f>
        <v/>
      </c>
      <c r="G323" s="36" t="str">
        <f t="shared" si="218"/>
        <v/>
      </c>
      <c r="U323" s="608">
        <v>5</v>
      </c>
      <c r="V323" s="610">
        <f t="shared" si="221"/>
        <v>279.25149312615406</v>
      </c>
      <c r="W323" s="604">
        <f t="shared" si="222"/>
        <v>0.31998062133789063</v>
      </c>
      <c r="X323" s="604">
        <f t="shared" si="223"/>
        <v>0</v>
      </c>
      <c r="Y323" s="617">
        <f t="shared" si="224"/>
        <v>-1.7347762361168861E-2</v>
      </c>
      <c r="Z323" s="605">
        <f t="shared" si="225"/>
        <v>279.25149312615406</v>
      </c>
      <c r="AA323" s="621"/>
      <c r="AD323" s="50">
        <v>648.20000000000005</v>
      </c>
      <c r="AE323" s="51">
        <v>70.909000000000006</v>
      </c>
      <c r="AF323" s="52">
        <f t="shared" si="177"/>
        <v>0.14929863925589881</v>
      </c>
    </row>
    <row r="324" spans="1:94">
      <c r="A324" s="65"/>
      <c r="B324" s="42">
        <f t="shared" si="219"/>
        <v>269</v>
      </c>
      <c r="C324" s="569" t="str">
        <f>IF('Registro Original'!C324 = "", "", 'Registro Original'!C324)</f>
        <v/>
      </c>
      <c r="D324" s="574" t="str">
        <f t="shared" si="217"/>
        <v/>
      </c>
      <c r="E324" s="42">
        <f t="shared" si="220"/>
        <v>274</v>
      </c>
      <c r="F324" s="569" t="str">
        <f>IF('Registro Original'!F324 = "", "", 'Registro Original'!F324)</f>
        <v/>
      </c>
      <c r="G324" s="36" t="str">
        <f t="shared" si="218"/>
        <v/>
      </c>
      <c r="U324" s="608">
        <v>6</v>
      </c>
      <c r="V324" s="610">
        <f t="shared" si="221"/>
        <v>279.25149312615406</v>
      </c>
      <c r="W324" s="604">
        <f t="shared" si="222"/>
        <v>0.31998062133789063</v>
      </c>
      <c r="X324" s="604">
        <f t="shared" si="223"/>
        <v>0</v>
      </c>
      <c r="Y324" s="617">
        <f t="shared" si="224"/>
        <v>-1.7347762361168861E-2</v>
      </c>
      <c r="Z324" s="605">
        <f t="shared" si="225"/>
        <v>279.25149312615406</v>
      </c>
      <c r="AA324" s="621"/>
      <c r="AD324" s="50">
        <v>648.1</v>
      </c>
      <c r="AE324" s="51">
        <v>70.995000000000005</v>
      </c>
      <c r="AF324" s="52">
        <f t="shared" si="177"/>
        <v>0.1487722364763247</v>
      </c>
    </row>
    <row r="325" spans="1:94">
      <c r="A325" s="65"/>
      <c r="B325" s="42">
        <f t="shared" si="219"/>
        <v>268</v>
      </c>
      <c r="C325" s="569" t="str">
        <f>IF('Registro Original'!C325 = "", "", 'Registro Original'!C325)</f>
        <v/>
      </c>
      <c r="D325" s="574" t="str">
        <f t="shared" si="217"/>
        <v/>
      </c>
      <c r="E325" s="42">
        <f t="shared" si="220"/>
        <v>273.5</v>
      </c>
      <c r="F325" s="569" t="str">
        <f>IF('Registro Original'!F325 = "", "", 'Registro Original'!F325)</f>
        <v/>
      </c>
      <c r="G325" s="36" t="str">
        <f t="shared" si="218"/>
        <v/>
      </c>
      <c r="U325" s="611">
        <v>7</v>
      </c>
      <c r="V325" s="658">
        <f t="shared" si="221"/>
        <v>279.25149312615406</v>
      </c>
      <c r="W325" s="612">
        <f t="shared" si="222"/>
        <v>0.31998062133789063</v>
      </c>
      <c r="X325" s="612">
        <f t="shared" si="223"/>
        <v>0</v>
      </c>
      <c r="Y325" s="618">
        <f t="shared" si="224"/>
        <v>-1.7347762361168861E-2</v>
      </c>
      <c r="Z325" s="634">
        <f t="shared" si="225"/>
        <v>279.25149312615406</v>
      </c>
      <c r="AA325" s="622"/>
      <c r="AD325" s="50">
        <v>648</v>
      </c>
      <c r="AE325" s="51">
        <v>71.066000000000003</v>
      </c>
      <c r="AF325" s="52">
        <f t="shared" ref="AF325:AF388" si="226">-LOG(AE325/100)</f>
        <v>0.14833812844129043</v>
      </c>
    </row>
    <row r="326" spans="1:94" ht="15.75" thickBot="1">
      <c r="A326" s="66"/>
      <c r="B326" s="47">
        <f t="shared" si="219"/>
        <v>267</v>
      </c>
      <c r="C326" s="570" t="str">
        <f>IF('Registro Original'!C326 = "", "", 'Registro Original'!C326)</f>
        <v/>
      </c>
      <c r="D326" s="575" t="str">
        <f t="shared" si="217"/>
        <v/>
      </c>
      <c r="E326" s="47">
        <f t="shared" si="220"/>
        <v>273</v>
      </c>
      <c r="F326" s="570" t="str">
        <f>IF('Registro Original'!F326 = "", "", 'Registro Original'!F326)</f>
        <v/>
      </c>
      <c r="G326" s="571" t="str">
        <f t="shared" si="218"/>
        <v/>
      </c>
      <c r="AD326" s="50">
        <v>647.9</v>
      </c>
      <c r="AE326" s="51">
        <v>71.182000000000002</v>
      </c>
      <c r="AF326" s="52">
        <f t="shared" si="226"/>
        <v>0.14762981379267692</v>
      </c>
    </row>
    <row r="327" spans="1:94" ht="15.75" thickTop="1">
      <c r="A327" s="65"/>
      <c r="B327" s="42">
        <f t="shared" ref="B327:B337" si="227">IF(ISNUMBER($G$45),B328+$G$45,"")</f>
        <v>253</v>
      </c>
      <c r="C327" s="568" t="str">
        <f>IF('Registro Original'!C327 = "", "", 'Registro Original'!C327)</f>
        <v/>
      </c>
      <c r="D327" s="574" t="str">
        <f t="shared" ref="D327:D338" si="228">IF(C327&lt;&gt;"",IF(C327 = LARGE($C$327:$C$351,1), C327, ""), "")</f>
        <v/>
      </c>
      <c r="E327" s="42">
        <f t="shared" ref="E327:E337" si="229">IF(ISNUMBER($G$45),E328+$K$45,"")</f>
        <v>247</v>
      </c>
      <c r="F327" s="568" t="str">
        <f>IF('Registro Original'!F327 = "", "", 'Registro Original'!F327)</f>
        <v/>
      </c>
      <c r="G327" s="36" t="str">
        <f t="shared" ref="G327:G338" si="230">IF(F327 &lt;&gt;"", IF(F327 = LARGE($F$327:$F$351,1), F327, ""), "")</f>
        <v/>
      </c>
      <c r="U327" s="103" t="s">
        <v>88</v>
      </c>
      <c r="V327" s="104" t="s">
        <v>89</v>
      </c>
      <c r="W327" s="105" t="s">
        <v>90</v>
      </c>
      <c r="X327" s="104" t="s">
        <v>91</v>
      </c>
      <c r="Y327" s="106" t="s">
        <v>96</v>
      </c>
      <c r="Z327" s="626" t="s">
        <v>378</v>
      </c>
      <c r="AA327" s="627" t="s">
        <v>379</v>
      </c>
      <c r="AB327" s="627" t="s">
        <v>380</v>
      </c>
      <c r="AC327" s="632" t="s">
        <v>381</v>
      </c>
      <c r="AD327" s="50">
        <v>647.79999999999995</v>
      </c>
      <c r="AE327" s="51">
        <v>71.236999999999995</v>
      </c>
      <c r="AF327" s="52">
        <f t="shared" si="226"/>
        <v>0.14729437824415983</v>
      </c>
    </row>
    <row r="328" spans="1:94" ht="15.75" thickBot="1">
      <c r="A328" s="65"/>
      <c r="B328" s="42">
        <f t="shared" si="227"/>
        <v>252</v>
      </c>
      <c r="C328" s="569" t="str">
        <f>IF('Registro Original'!C328 = "", "", 'Registro Original'!C328)</f>
        <v/>
      </c>
      <c r="D328" s="574" t="str">
        <f t="shared" si="228"/>
        <v/>
      </c>
      <c r="E328" s="42">
        <f t="shared" si="229"/>
        <v>246.5</v>
      </c>
      <c r="F328" s="569" t="str">
        <f>IF('Registro Original'!F328 = "", "", 'Registro Original'!F328)</f>
        <v/>
      </c>
      <c r="G328" s="36" t="str">
        <f t="shared" si="230"/>
        <v/>
      </c>
      <c r="U328" s="644">
        <v>239.7</v>
      </c>
      <c r="V328" s="643">
        <v>0.77029999999999998</v>
      </c>
      <c r="W328" s="645">
        <v>241.5</v>
      </c>
      <c r="X328" s="643">
        <v>1.0156000000000001</v>
      </c>
      <c r="Y328" s="646">
        <f>(V328 + X328)/2</f>
        <v>0.89295000000000002</v>
      </c>
      <c r="Z328" s="630">
        <f>AC328 - AB328</f>
        <v>1.2000000000000171</v>
      </c>
      <c r="AA328" s="628">
        <f>X328 - Y328</f>
        <v>0.12265000000000004</v>
      </c>
      <c r="AB328" s="629">
        <v>241.1</v>
      </c>
      <c r="AC328" s="631">
        <v>242.3</v>
      </c>
      <c r="AD328" s="50">
        <v>647.70000000000005</v>
      </c>
      <c r="AE328" s="51">
        <v>71.36</v>
      </c>
      <c r="AF328" s="52">
        <f t="shared" si="226"/>
        <v>0.14654515863193335</v>
      </c>
    </row>
    <row r="329" spans="1:94" ht="15.75" thickBot="1">
      <c r="A329" s="65"/>
      <c r="B329" s="42">
        <f t="shared" si="227"/>
        <v>251</v>
      </c>
      <c r="C329" s="569" t="str">
        <f>IF('Registro Original'!C329 = "", "", 'Registro Original'!C329)</f>
        <v/>
      </c>
      <c r="D329" s="574" t="str">
        <f t="shared" si="228"/>
        <v/>
      </c>
      <c r="E329" s="42">
        <f t="shared" si="229"/>
        <v>246</v>
      </c>
      <c r="F329" s="569" t="str">
        <f>IF('Registro Original'!F329 = "", "", 'Registro Original'!F329)</f>
        <v/>
      </c>
      <c r="G329" s="36" t="str">
        <f t="shared" si="230"/>
        <v/>
      </c>
      <c r="U329" s="589"/>
      <c r="AD329" s="50">
        <v>647.6</v>
      </c>
      <c r="AE329" s="51">
        <v>71.418999999999997</v>
      </c>
      <c r="AF329" s="52">
        <f t="shared" si="226"/>
        <v>0.14618623503825728</v>
      </c>
    </row>
    <row r="330" spans="1:94" ht="15.75" thickBot="1">
      <c r="A330" s="65"/>
      <c r="B330" s="42">
        <f t="shared" si="227"/>
        <v>250</v>
      </c>
      <c r="C330" s="569" t="str">
        <f>IF('Registro Original'!C330 = "", "", 'Registro Original'!C330)</f>
        <v/>
      </c>
      <c r="D330" s="574" t="str">
        <f t="shared" si="228"/>
        <v/>
      </c>
      <c r="E330" s="42">
        <f t="shared" si="229"/>
        <v>245.5</v>
      </c>
      <c r="F330" s="569" t="str">
        <f>IF('Registro Original'!F330 = "", "", 'Registro Original'!F330)</f>
        <v/>
      </c>
      <c r="G330" s="36" t="str">
        <f t="shared" si="230"/>
        <v/>
      </c>
      <c r="U330" s="822" t="s">
        <v>374</v>
      </c>
      <c r="V330" s="823"/>
      <c r="W330" s="823"/>
      <c r="X330" s="823"/>
      <c r="Y330" s="823"/>
      <c r="Z330" s="823"/>
      <c r="AA330" s="824"/>
      <c r="AC330" s="640" t="s">
        <v>350</v>
      </c>
      <c r="AD330" s="50">
        <v>647.5</v>
      </c>
      <c r="AE330" s="51">
        <v>71.451999999999998</v>
      </c>
      <c r="AF330" s="52">
        <f t="shared" si="226"/>
        <v>0.14598561044463543</v>
      </c>
      <c r="AG330" s="746" t="s">
        <v>95</v>
      </c>
      <c r="AH330" s="50">
        <v>235.5</v>
      </c>
      <c r="AI330" s="50">
        <f t="shared" ref="AI330:CP330" si="231">AH330+0.2</f>
        <v>235.7</v>
      </c>
      <c r="AJ330" s="50">
        <f t="shared" si="231"/>
        <v>235.89999999999998</v>
      </c>
      <c r="AK330" s="50">
        <f t="shared" si="231"/>
        <v>236.09999999999997</v>
      </c>
      <c r="AL330" s="50">
        <f t="shared" si="231"/>
        <v>236.29999999999995</v>
      </c>
      <c r="AM330" s="50">
        <f t="shared" si="231"/>
        <v>236.49999999999994</v>
      </c>
      <c r="AN330" s="50">
        <f t="shared" si="231"/>
        <v>236.69999999999993</v>
      </c>
      <c r="AO330" s="50">
        <f t="shared" si="231"/>
        <v>236.89999999999992</v>
      </c>
      <c r="AP330" s="50">
        <f t="shared" si="231"/>
        <v>237.09999999999991</v>
      </c>
      <c r="AQ330" s="50">
        <f t="shared" si="231"/>
        <v>237.2999999999999</v>
      </c>
      <c r="AR330" s="50">
        <f t="shared" si="231"/>
        <v>237.49999999999989</v>
      </c>
      <c r="AS330" s="50">
        <f t="shared" si="231"/>
        <v>237.69999999999987</v>
      </c>
      <c r="AT330" s="50">
        <f t="shared" si="231"/>
        <v>237.89999999999986</v>
      </c>
      <c r="AU330" s="50">
        <f t="shared" si="231"/>
        <v>238.09999999999985</v>
      </c>
      <c r="AV330" s="50">
        <f t="shared" si="231"/>
        <v>238.29999999999984</v>
      </c>
      <c r="AW330" s="50">
        <f t="shared" si="231"/>
        <v>238.49999999999983</v>
      </c>
      <c r="AX330" s="50">
        <f t="shared" si="231"/>
        <v>238.69999999999982</v>
      </c>
      <c r="AY330" s="50">
        <f t="shared" si="231"/>
        <v>238.89999999999981</v>
      </c>
      <c r="AZ330" s="50">
        <f t="shared" si="231"/>
        <v>239.0999999999998</v>
      </c>
      <c r="BA330" s="50">
        <f t="shared" si="231"/>
        <v>239.29999999999978</v>
      </c>
      <c r="BB330" s="50">
        <f t="shared" si="231"/>
        <v>239.49999999999977</v>
      </c>
      <c r="BC330" s="50">
        <f t="shared" si="231"/>
        <v>239.69999999999976</v>
      </c>
      <c r="BD330" s="50">
        <f t="shared" si="231"/>
        <v>239.89999999999975</v>
      </c>
      <c r="BE330" s="50">
        <f t="shared" si="231"/>
        <v>240.09999999999974</v>
      </c>
      <c r="BF330" s="50">
        <f t="shared" si="231"/>
        <v>240.29999999999973</v>
      </c>
      <c r="BG330" s="50">
        <f t="shared" si="231"/>
        <v>240.49999999999972</v>
      </c>
      <c r="BH330" s="50">
        <f t="shared" si="231"/>
        <v>240.6999999999997</v>
      </c>
      <c r="BI330" s="50">
        <f t="shared" si="231"/>
        <v>240.89999999999969</v>
      </c>
      <c r="BJ330" s="50">
        <f t="shared" si="231"/>
        <v>241.09999999999968</v>
      </c>
      <c r="BK330" s="50">
        <f t="shared" si="231"/>
        <v>241.29999999999967</v>
      </c>
      <c r="BL330" s="50">
        <f t="shared" si="231"/>
        <v>241.49999999999966</v>
      </c>
      <c r="BM330" s="50">
        <f t="shared" si="231"/>
        <v>241.69999999999965</v>
      </c>
      <c r="BN330" s="50">
        <f t="shared" si="231"/>
        <v>241.89999999999964</v>
      </c>
      <c r="BO330" s="50">
        <f t="shared" si="231"/>
        <v>242.09999999999962</v>
      </c>
      <c r="BP330" s="50">
        <f t="shared" si="231"/>
        <v>242.29999999999961</v>
      </c>
      <c r="BQ330" s="50">
        <f t="shared" si="231"/>
        <v>242.4999999999996</v>
      </c>
      <c r="BR330" s="50">
        <f t="shared" si="231"/>
        <v>242.69999999999959</v>
      </c>
      <c r="BS330" s="50">
        <f t="shared" si="231"/>
        <v>242.89999999999958</v>
      </c>
      <c r="BT330" s="50">
        <f t="shared" si="231"/>
        <v>243.09999999999957</v>
      </c>
      <c r="BU330" s="50">
        <f t="shared" si="231"/>
        <v>243.29999999999956</v>
      </c>
      <c r="BV330" s="50">
        <f t="shared" si="231"/>
        <v>243.49999999999955</v>
      </c>
      <c r="BW330" s="50">
        <f t="shared" si="231"/>
        <v>243.69999999999953</v>
      </c>
      <c r="BX330" s="50">
        <f t="shared" si="231"/>
        <v>243.89999999999952</v>
      </c>
      <c r="BY330" s="50">
        <f t="shared" si="231"/>
        <v>244.09999999999951</v>
      </c>
      <c r="BZ330" s="50">
        <f t="shared" si="231"/>
        <v>244.2999999999995</v>
      </c>
      <c r="CA330" s="50">
        <f t="shared" si="231"/>
        <v>244.49999999999949</v>
      </c>
      <c r="CB330" s="50">
        <f t="shared" si="231"/>
        <v>244.69999999999948</v>
      </c>
      <c r="CC330" s="50">
        <f t="shared" si="231"/>
        <v>244.89999999999947</v>
      </c>
      <c r="CD330" s="50">
        <f t="shared" si="231"/>
        <v>245.09999999999945</v>
      </c>
      <c r="CE330" s="50">
        <f t="shared" si="231"/>
        <v>245.29999999999944</v>
      </c>
      <c r="CF330" s="50">
        <f t="shared" si="231"/>
        <v>245.49999999999943</v>
      </c>
      <c r="CG330" s="50">
        <f t="shared" si="231"/>
        <v>245.69999999999942</v>
      </c>
      <c r="CH330" s="50">
        <f t="shared" si="231"/>
        <v>245.89999999999941</v>
      </c>
      <c r="CI330" s="50">
        <f t="shared" si="231"/>
        <v>246.0999999999994</v>
      </c>
      <c r="CJ330" s="50">
        <f t="shared" si="231"/>
        <v>246.29999999999939</v>
      </c>
      <c r="CK330" s="50">
        <f t="shared" si="231"/>
        <v>246.49999999999937</v>
      </c>
      <c r="CL330" s="50">
        <f t="shared" si="231"/>
        <v>246.69999999999936</v>
      </c>
      <c r="CM330" s="50">
        <f t="shared" si="231"/>
        <v>246.89999999999935</v>
      </c>
      <c r="CN330" s="50">
        <f t="shared" si="231"/>
        <v>247.09999999999934</v>
      </c>
      <c r="CO330" s="50">
        <f t="shared" si="231"/>
        <v>247.29999999999933</v>
      </c>
      <c r="CP330" s="50">
        <f t="shared" si="231"/>
        <v>247.49999999999932</v>
      </c>
    </row>
    <row r="331" spans="1:94" ht="19.5">
      <c r="A331" s="46"/>
      <c r="B331" s="42">
        <f t="shared" si="227"/>
        <v>249</v>
      </c>
      <c r="C331" s="569" t="str">
        <f>IF('Registro Original'!C331 = "", "", 'Registro Original'!C331)</f>
        <v/>
      </c>
      <c r="D331" s="574" t="str">
        <f t="shared" si="228"/>
        <v/>
      </c>
      <c r="E331" s="42">
        <f t="shared" si="229"/>
        <v>245</v>
      </c>
      <c r="F331" s="569" t="str">
        <f>IF('Registro Original'!F331 = "", "", 'Registro Original'!F331)</f>
        <v/>
      </c>
      <c r="G331" s="36" t="str">
        <f t="shared" si="230"/>
        <v/>
      </c>
      <c r="U331" s="602" t="s">
        <v>359</v>
      </c>
      <c r="V331" s="88" t="s">
        <v>360</v>
      </c>
      <c r="W331" s="88" t="s">
        <v>361</v>
      </c>
      <c r="X331" s="88" t="s">
        <v>362</v>
      </c>
      <c r="Y331" s="88" t="s">
        <v>363</v>
      </c>
      <c r="Z331" s="88" t="s">
        <v>364</v>
      </c>
      <c r="AA331" s="603" t="s">
        <v>365</v>
      </c>
      <c r="AB331" s="735" t="s">
        <v>458</v>
      </c>
      <c r="AC331" s="736">
        <f>IF(U332="","",IF(AA332&lt;&gt;0, 6,5))</f>
        <v>5</v>
      </c>
      <c r="AD331" s="50">
        <v>647.4</v>
      </c>
      <c r="AE331" s="51">
        <v>71.513999999999996</v>
      </c>
      <c r="AF331" s="52">
        <f t="shared" si="226"/>
        <v>0.14560892984133109</v>
      </c>
      <c r="AG331" s="746"/>
      <c r="AH331" s="52">
        <f>$Y328</f>
        <v>0.89295000000000002</v>
      </c>
      <c r="AI331" s="52">
        <f t="shared" ref="AI331:CP331" si="232">AH331</f>
        <v>0.89295000000000002</v>
      </c>
      <c r="AJ331" s="52">
        <f t="shared" si="232"/>
        <v>0.89295000000000002</v>
      </c>
      <c r="AK331" s="52">
        <f t="shared" si="232"/>
        <v>0.89295000000000002</v>
      </c>
      <c r="AL331" s="52">
        <f t="shared" si="232"/>
        <v>0.89295000000000002</v>
      </c>
      <c r="AM331" s="52">
        <f t="shared" si="232"/>
        <v>0.89295000000000002</v>
      </c>
      <c r="AN331" s="52">
        <f t="shared" si="232"/>
        <v>0.89295000000000002</v>
      </c>
      <c r="AO331" s="52">
        <f t="shared" si="232"/>
        <v>0.89295000000000002</v>
      </c>
      <c r="AP331" s="52">
        <f t="shared" si="232"/>
        <v>0.89295000000000002</v>
      </c>
      <c r="AQ331" s="52">
        <f t="shared" si="232"/>
        <v>0.89295000000000002</v>
      </c>
      <c r="AR331" s="52">
        <f t="shared" si="232"/>
        <v>0.89295000000000002</v>
      </c>
      <c r="AS331" s="52">
        <f t="shared" si="232"/>
        <v>0.89295000000000002</v>
      </c>
      <c r="AT331" s="52">
        <f t="shared" si="232"/>
        <v>0.89295000000000002</v>
      </c>
      <c r="AU331" s="52">
        <f t="shared" si="232"/>
        <v>0.89295000000000002</v>
      </c>
      <c r="AV331" s="52">
        <f t="shared" si="232"/>
        <v>0.89295000000000002</v>
      </c>
      <c r="AW331" s="52">
        <f t="shared" si="232"/>
        <v>0.89295000000000002</v>
      </c>
      <c r="AX331" s="52">
        <f t="shared" si="232"/>
        <v>0.89295000000000002</v>
      </c>
      <c r="AY331" s="52">
        <f t="shared" si="232"/>
        <v>0.89295000000000002</v>
      </c>
      <c r="AZ331" s="52">
        <f t="shared" si="232"/>
        <v>0.89295000000000002</v>
      </c>
      <c r="BA331" s="52">
        <f t="shared" si="232"/>
        <v>0.89295000000000002</v>
      </c>
      <c r="BB331" s="52">
        <f t="shared" si="232"/>
        <v>0.89295000000000002</v>
      </c>
      <c r="BC331" s="52">
        <f t="shared" si="232"/>
        <v>0.89295000000000002</v>
      </c>
      <c r="BD331" s="52">
        <f t="shared" si="232"/>
        <v>0.89295000000000002</v>
      </c>
      <c r="BE331" s="52">
        <f t="shared" si="232"/>
        <v>0.89295000000000002</v>
      </c>
      <c r="BF331" s="52">
        <f t="shared" si="232"/>
        <v>0.89295000000000002</v>
      </c>
      <c r="BG331" s="52">
        <f t="shared" si="232"/>
        <v>0.89295000000000002</v>
      </c>
      <c r="BH331" s="52">
        <f t="shared" si="232"/>
        <v>0.89295000000000002</v>
      </c>
      <c r="BI331" s="52">
        <f t="shared" si="232"/>
        <v>0.89295000000000002</v>
      </c>
      <c r="BJ331" s="52">
        <f t="shared" si="232"/>
        <v>0.89295000000000002</v>
      </c>
      <c r="BK331" s="52">
        <f t="shared" si="232"/>
        <v>0.89295000000000002</v>
      </c>
      <c r="BL331" s="52">
        <f t="shared" si="232"/>
        <v>0.89295000000000002</v>
      </c>
      <c r="BM331" s="52">
        <f t="shared" si="232"/>
        <v>0.89295000000000002</v>
      </c>
      <c r="BN331" s="52">
        <f t="shared" si="232"/>
        <v>0.89295000000000002</v>
      </c>
      <c r="BO331" s="52">
        <f t="shared" si="232"/>
        <v>0.89295000000000002</v>
      </c>
      <c r="BP331" s="52">
        <f t="shared" si="232"/>
        <v>0.89295000000000002</v>
      </c>
      <c r="BQ331" s="52">
        <f t="shared" si="232"/>
        <v>0.89295000000000002</v>
      </c>
      <c r="BR331" s="52">
        <f t="shared" si="232"/>
        <v>0.89295000000000002</v>
      </c>
      <c r="BS331" s="52">
        <f t="shared" si="232"/>
        <v>0.89295000000000002</v>
      </c>
      <c r="BT331" s="52">
        <f t="shared" si="232"/>
        <v>0.89295000000000002</v>
      </c>
      <c r="BU331" s="52">
        <f t="shared" si="232"/>
        <v>0.89295000000000002</v>
      </c>
      <c r="BV331" s="52">
        <f t="shared" si="232"/>
        <v>0.89295000000000002</v>
      </c>
      <c r="BW331" s="52">
        <f t="shared" si="232"/>
        <v>0.89295000000000002</v>
      </c>
      <c r="BX331" s="52">
        <f t="shared" si="232"/>
        <v>0.89295000000000002</v>
      </c>
      <c r="BY331" s="52">
        <f t="shared" si="232"/>
        <v>0.89295000000000002</v>
      </c>
      <c r="BZ331" s="52">
        <f t="shared" si="232"/>
        <v>0.89295000000000002</v>
      </c>
      <c r="CA331" s="52">
        <f t="shared" si="232"/>
        <v>0.89295000000000002</v>
      </c>
      <c r="CB331" s="52">
        <f t="shared" si="232"/>
        <v>0.89295000000000002</v>
      </c>
      <c r="CC331" s="52">
        <f t="shared" si="232"/>
        <v>0.89295000000000002</v>
      </c>
      <c r="CD331" s="52">
        <f t="shared" si="232"/>
        <v>0.89295000000000002</v>
      </c>
      <c r="CE331" s="52">
        <f t="shared" si="232"/>
        <v>0.89295000000000002</v>
      </c>
      <c r="CF331" s="52">
        <f t="shared" si="232"/>
        <v>0.89295000000000002</v>
      </c>
      <c r="CG331" s="52">
        <f t="shared" si="232"/>
        <v>0.89295000000000002</v>
      </c>
      <c r="CH331" s="52">
        <f t="shared" si="232"/>
        <v>0.89295000000000002</v>
      </c>
      <c r="CI331" s="52">
        <f t="shared" si="232"/>
        <v>0.89295000000000002</v>
      </c>
      <c r="CJ331" s="52">
        <f t="shared" si="232"/>
        <v>0.89295000000000002</v>
      </c>
      <c r="CK331" s="52">
        <f t="shared" si="232"/>
        <v>0.89295000000000002</v>
      </c>
      <c r="CL331" s="52">
        <f t="shared" si="232"/>
        <v>0.89295000000000002</v>
      </c>
      <c r="CM331" s="52">
        <f t="shared" si="232"/>
        <v>0.89295000000000002</v>
      </c>
      <c r="CN331" s="52">
        <f t="shared" si="232"/>
        <v>0.89295000000000002</v>
      </c>
      <c r="CO331" s="52">
        <f t="shared" si="232"/>
        <v>0.89295000000000002</v>
      </c>
      <c r="CP331" s="52">
        <f t="shared" si="232"/>
        <v>0.89295000000000002</v>
      </c>
    </row>
    <row r="332" spans="1:94" ht="18.75">
      <c r="A332" s="46"/>
      <c r="B332" s="42">
        <f t="shared" si="227"/>
        <v>248</v>
      </c>
      <c r="C332" s="569" t="str">
        <f>IF('Registro Original'!C332 = "", "", 'Registro Original'!C332)</f>
        <v/>
      </c>
      <c r="D332" s="574" t="str">
        <f t="shared" si="228"/>
        <v/>
      </c>
      <c r="E332" s="42">
        <f t="shared" si="229"/>
        <v>244.5</v>
      </c>
      <c r="F332" s="569" t="str">
        <f>IF('Registro Original'!F332 = "", "", 'Registro Original'!F332)</f>
        <v/>
      </c>
      <c r="G332" s="36" t="str">
        <f t="shared" si="230"/>
        <v/>
      </c>
      <c r="U332" s="633">
        <v>349860382.50048399</v>
      </c>
      <c r="V332" s="612">
        <v>-7240584.01062705</v>
      </c>
      <c r="W332" s="612">
        <v>59938.705081339802</v>
      </c>
      <c r="X332" s="612">
        <v>-248.08820832504401</v>
      </c>
      <c r="Y332" s="612">
        <v>0.51341666664944097</v>
      </c>
      <c r="Z332" s="612">
        <v>-4.2499999998568699E-4</v>
      </c>
      <c r="AA332" s="634">
        <v>0</v>
      </c>
      <c r="AB332" s="737" t="s">
        <v>459</v>
      </c>
      <c r="AC332" s="732">
        <f>IF(AC331="", "",AC331 +1)</f>
        <v>6</v>
      </c>
      <c r="AD332" s="50">
        <v>647.29999999999995</v>
      </c>
      <c r="AE332" s="51">
        <v>71.528999999999996</v>
      </c>
      <c r="AF332" s="52">
        <f t="shared" si="226"/>
        <v>0.1455178464992252</v>
      </c>
    </row>
    <row r="333" spans="1:94" ht="18">
      <c r="A333" s="590" t="s">
        <v>352</v>
      </c>
      <c r="B333" s="42">
        <f t="shared" si="227"/>
        <v>247</v>
      </c>
      <c r="C333" s="569">
        <f>IF('Registro Original'!C333 = "", "", 'Registro Original'!C333)</f>
        <v>0.56100000000000005</v>
      </c>
      <c r="D333" s="574" t="str">
        <f t="shared" si="228"/>
        <v/>
      </c>
      <c r="E333" s="42">
        <f t="shared" si="229"/>
        <v>244</v>
      </c>
      <c r="F333" s="569">
        <f>IF('Registro Original'!F333 = "", "", 'Registro Original'!F333)</f>
        <v>0.56599999999999995</v>
      </c>
      <c r="G333" s="36" t="str">
        <f t="shared" si="230"/>
        <v/>
      </c>
      <c r="U333" s="606" t="s">
        <v>373</v>
      </c>
      <c r="V333" s="607" t="s">
        <v>369</v>
      </c>
      <c r="W333" s="601" t="s">
        <v>375</v>
      </c>
      <c r="X333" s="601" t="s">
        <v>367</v>
      </c>
      <c r="Y333" s="601" t="s">
        <v>368</v>
      </c>
      <c r="Z333" s="635" t="s">
        <v>370</v>
      </c>
      <c r="AA333" s="636" t="s">
        <v>369</v>
      </c>
      <c r="AB333" s="737" t="s">
        <v>460</v>
      </c>
      <c r="AC333" s="605">
        <f xml:space="preserve"> 0.999999886266674</f>
        <v>0.99999988626667402</v>
      </c>
      <c r="AD333" s="50">
        <v>647.20000000000005</v>
      </c>
      <c r="AE333" s="51">
        <v>71.558999999999997</v>
      </c>
      <c r="AF333" s="52">
        <f t="shared" si="226"/>
        <v>0.14533573710293754</v>
      </c>
    </row>
    <row r="334" spans="1:94">
      <c r="A334" s="65"/>
      <c r="B334" s="42">
        <f t="shared" si="227"/>
        <v>246</v>
      </c>
      <c r="C334" s="569">
        <f>IF('Registro Original'!C334 = "", "", 'Registro Original'!C334)</f>
        <v>0.58199999999999996</v>
      </c>
      <c r="D334" s="574" t="str">
        <f t="shared" si="228"/>
        <v/>
      </c>
      <c r="E334" s="42">
        <f t="shared" si="229"/>
        <v>243.5</v>
      </c>
      <c r="F334" s="569">
        <f>IF('Registro Original'!F334 = "", "", 'Registro Original'!F334)</f>
        <v>0.59</v>
      </c>
      <c r="G334" s="36" t="str">
        <f t="shared" si="230"/>
        <v/>
      </c>
      <c r="U334" s="608">
        <v>1</v>
      </c>
      <c r="V334" s="624">
        <v>241.1</v>
      </c>
      <c r="W334" s="604">
        <f t="shared" ref="W334:W340" si="233" xml:space="preserve"> $U$332 + $V$332*(V334) + $W$332*(V334^2) + $X$332*(V334^3) + $Y$332*(V334^4) + $Z$332*(V334^5) + $AA$332*(V334^6)</f>
        <v>0.72349286079406738</v>
      </c>
      <c r="X334" s="604">
        <f t="shared" ref="X334:X340" si="234" xml:space="preserve"> ($V$332 +  2*$W$332*(V334) +  3*$X$332*(V334^2) + 4*$Y$332*(V334^3) + 5*$Z$332*(V334^4) + 6*$AA$332*(V334^5))</f>
        <v>3.5995738580822945E-3</v>
      </c>
      <c r="Y334" s="617">
        <f t="shared" ref="Y334:Y340" si="235" xml:space="preserve"> (2*$W$332 + 6*$X$332*(V334) + 12*$Y$332*(V334^2) + 20*$Z$332*(V334^3) + 30*$AA$332*(V334^4))</f>
        <v>-2.5711832931847312E-2</v>
      </c>
      <c r="Z334" s="605">
        <f>V334 - (X334/Y334)</f>
        <v>241.23999678154502</v>
      </c>
      <c r="AA334" s="638">
        <v>241.24457163828305</v>
      </c>
      <c r="AB334" s="738" t="s">
        <v>461</v>
      </c>
      <c r="AC334" s="605">
        <f>IF(AC333="",  "", SQRT(AC333)/(AC332))</f>
        <v>0.16666665718888923</v>
      </c>
      <c r="AD334" s="50">
        <v>647.1</v>
      </c>
      <c r="AE334" s="51">
        <v>71.575999999999993</v>
      </c>
      <c r="AF334" s="52">
        <f t="shared" si="226"/>
        <v>0.14523257566475584</v>
      </c>
    </row>
    <row r="335" spans="1:94">
      <c r="A335" s="65"/>
      <c r="B335" s="42">
        <f t="shared" si="227"/>
        <v>245</v>
      </c>
      <c r="C335" s="569">
        <f>IF('Registro Original'!C335 = "", "", 'Registro Original'!C335)</f>
        <v>0.61499999999999999</v>
      </c>
      <c r="D335" s="574" t="str">
        <f t="shared" si="228"/>
        <v/>
      </c>
      <c r="E335" s="42">
        <f t="shared" si="229"/>
        <v>243</v>
      </c>
      <c r="F335" s="569">
        <f>IF('Registro Original'!F335 = "", "", 'Registro Original'!F335)</f>
        <v>0.627</v>
      </c>
      <c r="G335" s="36" t="str">
        <f t="shared" si="230"/>
        <v/>
      </c>
      <c r="U335" s="608">
        <v>2</v>
      </c>
      <c r="V335" s="610">
        <f>Z334</f>
        <v>241.23999678154502</v>
      </c>
      <c r="W335" s="604">
        <f t="shared" si="233"/>
        <v>0.72374933958053589</v>
      </c>
      <c r="X335" s="604">
        <f t="shared" si="234"/>
        <v>1.0995566844940186E-4</v>
      </c>
      <c r="Y335" s="617">
        <f t="shared" si="235"/>
        <v>-2.4068079481367022E-2</v>
      </c>
      <c r="Z335" s="605">
        <f>V335 - (X335/Y335)</f>
        <v>241.24456530844117</v>
      </c>
      <c r="AA335" s="620" t="s">
        <v>371</v>
      </c>
      <c r="AB335" s="738" t="s">
        <v>463</v>
      </c>
      <c r="AC335" s="732">
        <f>COUNT(U332,U342)</f>
        <v>2</v>
      </c>
      <c r="AD335" s="50">
        <v>647</v>
      </c>
      <c r="AE335" s="51">
        <v>71.625</v>
      </c>
      <c r="AF335" s="52">
        <f t="shared" si="226"/>
        <v>0.14493536502455359</v>
      </c>
    </row>
    <row r="336" spans="1:94" ht="16.5">
      <c r="A336" s="65"/>
      <c r="B336" s="42">
        <f t="shared" si="227"/>
        <v>244</v>
      </c>
      <c r="C336" s="569">
        <f>IF('Registro Original'!C336 = "", "", 'Registro Original'!C336)</f>
        <v>0.65600000000000003</v>
      </c>
      <c r="D336" s="574" t="str">
        <f t="shared" si="228"/>
        <v/>
      </c>
      <c r="E336" s="42">
        <f t="shared" si="229"/>
        <v>242.5</v>
      </c>
      <c r="F336" s="569">
        <f>IF('Registro Original'!F336 = "", "", 'Registro Original'!F336)</f>
        <v>0.66800000000000004</v>
      </c>
      <c r="G336" s="36" t="str">
        <f t="shared" si="230"/>
        <v/>
      </c>
      <c r="U336" s="608">
        <v>3</v>
      </c>
      <c r="V336" s="610">
        <f t="shared" ref="V336:V340" si="236">Z335</f>
        <v>241.24456530844117</v>
      </c>
      <c r="W336" s="604">
        <f t="shared" si="233"/>
        <v>0.72375011444091797</v>
      </c>
      <c r="X336" s="604">
        <f t="shared" si="234"/>
        <v>1.3597309589385986E-7</v>
      </c>
      <c r="Y336" s="617">
        <f t="shared" si="235"/>
        <v>-2.4007483385503292E-2</v>
      </c>
      <c r="Z336" s="605">
        <f t="shared" ref="Z336:Z340" si="237">V336 - (X336/Y336)</f>
        <v>241.24457097222083</v>
      </c>
      <c r="AA336" s="637">
        <f xml:space="preserve"> ($V$332 +  2*$W$332*(AA334) +  3*$X$332*(AA334^2) + 4*$Y$332*(AA334^3) + 5*$Z$332*(AA334^4) + 6*$AA$332*(AA334^5))</f>
        <v>-1.0244548320770264E-8</v>
      </c>
      <c r="AB336" s="739" t="s">
        <v>462</v>
      </c>
      <c r="AC336" s="634">
        <f>IF(AC334="", "", AC334/SQRT(AC335))</f>
        <v>0.11785112349595722</v>
      </c>
      <c r="AD336" s="50">
        <v>646.9</v>
      </c>
      <c r="AE336" s="51">
        <v>71.715000000000003</v>
      </c>
      <c r="AF336" s="52">
        <f t="shared" si="226"/>
        <v>0.14438999724852933</v>
      </c>
    </row>
    <row r="337" spans="1:32">
      <c r="A337" s="65"/>
      <c r="B337" s="42">
        <f t="shared" si="227"/>
        <v>243</v>
      </c>
      <c r="C337" s="569">
        <f>IF('Registro Original'!C337 = "", "", 'Registro Original'!C337)</f>
        <v>0.69899999999999995</v>
      </c>
      <c r="D337" s="574" t="str">
        <f t="shared" si="228"/>
        <v/>
      </c>
      <c r="E337" s="42">
        <f t="shared" si="229"/>
        <v>242</v>
      </c>
      <c r="F337" s="569">
        <f>IF('Registro Original'!F337 = "", "", 'Registro Original'!F337)</f>
        <v>0.70599999999999996</v>
      </c>
      <c r="G337" s="36" t="str">
        <f t="shared" si="230"/>
        <v/>
      </c>
      <c r="U337" s="608">
        <v>4</v>
      </c>
      <c r="V337" s="610">
        <f t="shared" si="236"/>
        <v>241.24457097222083</v>
      </c>
      <c r="W337" s="604">
        <f t="shared" si="233"/>
        <v>0.72374999523162842</v>
      </c>
      <c r="X337" s="604">
        <f t="shared" si="234"/>
        <v>9.3132257461547852E-10</v>
      </c>
      <c r="Y337" s="617">
        <f t="shared" si="235"/>
        <v>-2.4007408006582409E-2</v>
      </c>
      <c r="Z337" s="605">
        <f t="shared" si="237"/>
        <v>241.24457101101396</v>
      </c>
      <c r="AA337" s="621"/>
      <c r="AD337" s="50">
        <v>646.79999999999995</v>
      </c>
      <c r="AE337" s="51">
        <v>71.783000000000001</v>
      </c>
      <c r="AF337" s="52">
        <f t="shared" si="226"/>
        <v>0.14397839531707446</v>
      </c>
    </row>
    <row r="338" spans="1:32">
      <c r="A338" s="59" t="s">
        <v>350</v>
      </c>
      <c r="B338" s="42">
        <f>IF(ISNUMBER($G$45),B339+$G$45,"")</f>
        <v>242</v>
      </c>
      <c r="C338" s="569">
        <f>IF('Registro Original'!C338 = "", "", 'Registro Original'!C338)</f>
        <v>0.71799999999999997</v>
      </c>
      <c r="D338" s="574" t="str">
        <f t="shared" si="228"/>
        <v/>
      </c>
      <c r="E338" s="42">
        <f>IF(ISNUMBER($G$45),E339+$K$45,"")</f>
        <v>241.5</v>
      </c>
      <c r="F338" s="569">
        <f>IF('Registro Original'!F338 = "", "", 'Registro Original'!F338)</f>
        <v>0.72</v>
      </c>
      <c r="G338" s="36">
        <f t="shared" si="230"/>
        <v>0.72</v>
      </c>
      <c r="U338" s="608">
        <v>5</v>
      </c>
      <c r="V338" s="610">
        <f t="shared" si="236"/>
        <v>241.24457101101396</v>
      </c>
      <c r="W338" s="604">
        <f t="shared" si="233"/>
        <v>0.72374957799911499</v>
      </c>
      <c r="X338" s="604">
        <f t="shared" si="234"/>
        <v>0</v>
      </c>
      <c r="Y338" s="617">
        <f t="shared" si="235"/>
        <v>-2.4007407511817291E-2</v>
      </c>
      <c r="Z338" s="605">
        <f t="shared" si="237"/>
        <v>241.24457101101396</v>
      </c>
      <c r="AA338" s="621"/>
      <c r="AD338" s="50">
        <v>646.70000000000005</v>
      </c>
      <c r="AE338" s="51">
        <v>71.847999999999999</v>
      </c>
      <c r="AF338" s="52">
        <f t="shared" si="226"/>
        <v>0.14358531661887108</v>
      </c>
    </row>
    <row r="339" spans="1:32">
      <c r="A339" s="45">
        <v>241.5</v>
      </c>
      <c r="B339" s="121">
        <v>241</v>
      </c>
      <c r="C339" s="569">
        <f>IF('Registro Original'!C339 = "", "", 'Registro Original'!C339)</f>
        <v>0.72299999999999998</v>
      </c>
      <c r="D339" s="574">
        <f>IF(C339&lt;&gt;"",IF(C339 = LARGE($C$327:$C$351,1), C339, ""), "")</f>
        <v>0.72299999999999998</v>
      </c>
      <c r="E339" s="121">
        <f>B339</f>
        <v>241</v>
      </c>
      <c r="F339" s="569">
        <f>IF('Registro Original'!F339 = "", "", 'Registro Original'!F339)</f>
        <v>0.72</v>
      </c>
      <c r="G339" s="36">
        <f>IF(F339 &lt;&gt;"", IF(F339 = LARGE($F$327:$F$351,1), F339, ""), "")</f>
        <v>0.72</v>
      </c>
      <c r="U339" s="608">
        <v>6</v>
      </c>
      <c r="V339" s="610">
        <f t="shared" si="236"/>
        <v>241.24457101101396</v>
      </c>
      <c r="W339" s="604">
        <f t="shared" si="233"/>
        <v>0.72374957799911499</v>
      </c>
      <c r="X339" s="604">
        <f t="shared" si="234"/>
        <v>0</v>
      </c>
      <c r="Y339" s="617">
        <f t="shared" si="235"/>
        <v>-2.4007407511817291E-2</v>
      </c>
      <c r="Z339" s="605">
        <f t="shared" si="237"/>
        <v>241.24457101101396</v>
      </c>
      <c r="AA339" s="621"/>
      <c r="AD339" s="50">
        <v>646.6</v>
      </c>
      <c r="AE339" s="51">
        <v>71.792000000000002</v>
      </c>
      <c r="AF339" s="52">
        <f t="shared" si="226"/>
        <v>0.14392394781100096</v>
      </c>
    </row>
    <row r="340" spans="1:32" ht="15.75" thickBot="1">
      <c r="A340" s="65"/>
      <c r="B340" s="42">
        <f>IF(ISNUMBER($G$45),B339-$G$45,"")</f>
        <v>240</v>
      </c>
      <c r="C340" s="569">
        <f>IF('Registro Original'!C340 = "", "", 'Registro Original'!C340)</f>
        <v>0.70399999999999996</v>
      </c>
      <c r="D340" s="574" t="str">
        <f t="shared" ref="D340:D351" si="238">IF(C340&lt;&gt;"",IF(C340 = LARGE($C$327:$C$351,1), C340, ""), "")</f>
        <v/>
      </c>
      <c r="E340" s="42">
        <f>IF(ISNUMBER($G$45),E339-$K$45,"")</f>
        <v>240.5</v>
      </c>
      <c r="F340" s="569">
        <f>IF('Registro Original'!F340 = "", "", 'Registro Original'!F340)</f>
        <v>0.69599999999999995</v>
      </c>
      <c r="G340" s="36" t="str">
        <f t="shared" ref="G340:G351" si="239">IF(F340 &lt;&gt;"", IF(F340 = LARGE($F$327:$F$351,1), F340, ""), "")</f>
        <v/>
      </c>
      <c r="U340" s="611">
        <v>7</v>
      </c>
      <c r="V340" s="657">
        <f t="shared" si="236"/>
        <v>241.24457101101396</v>
      </c>
      <c r="W340" s="612">
        <f t="shared" si="233"/>
        <v>0.72374957799911499</v>
      </c>
      <c r="X340" s="612">
        <f t="shared" si="234"/>
        <v>0</v>
      </c>
      <c r="Y340" s="618">
        <f t="shared" si="235"/>
        <v>-2.4007407511817291E-2</v>
      </c>
      <c r="Z340" s="634">
        <f t="shared" si="237"/>
        <v>241.24457101101396</v>
      </c>
      <c r="AA340" s="622"/>
      <c r="AD340" s="50">
        <v>646.5</v>
      </c>
      <c r="AE340" s="51">
        <v>71.816000000000003</v>
      </c>
      <c r="AF340" s="52">
        <f t="shared" si="226"/>
        <v>0.1437787878246114</v>
      </c>
    </row>
    <row r="341" spans="1:32" ht="18">
      <c r="A341" s="65"/>
      <c r="B341" s="42">
        <f t="shared" ref="B341:B351" si="240">IF(ISNUMBER($G$45),B340-$G$45,"")</f>
        <v>239</v>
      </c>
      <c r="C341" s="569">
        <f>IF('Registro Original'!C341 = "", "", 'Registro Original'!C341)</f>
        <v>0.68200000000000005</v>
      </c>
      <c r="D341" s="574" t="str">
        <f t="shared" si="238"/>
        <v/>
      </c>
      <c r="E341" s="42">
        <f t="shared" ref="E341:E351" si="241">IF(ISNUMBER($G$45),E340-$K$45,"")</f>
        <v>240</v>
      </c>
      <c r="F341" s="569">
        <f>IF('Registro Original'!F341 = "", "", 'Registro Original'!F341)</f>
        <v>0.67700000000000005</v>
      </c>
      <c r="G341" s="36" t="str">
        <f t="shared" si="239"/>
        <v/>
      </c>
      <c r="U341" s="602" t="s">
        <v>359</v>
      </c>
      <c r="V341" s="88" t="s">
        <v>360</v>
      </c>
      <c r="W341" s="88" t="s">
        <v>361</v>
      </c>
      <c r="X341" s="88" t="s">
        <v>362</v>
      </c>
      <c r="Y341" s="88" t="s">
        <v>363</v>
      </c>
      <c r="Z341" s="88" t="s">
        <v>364</v>
      </c>
      <c r="AA341" s="603" t="s">
        <v>365</v>
      </c>
      <c r="AB341" s="735" t="s">
        <v>458</v>
      </c>
      <c r="AC341" s="736">
        <f>IF(U342="","",IF(AA342&lt;&gt;0, 6,5))</f>
        <v>5</v>
      </c>
      <c r="AD341" s="50">
        <v>646.4</v>
      </c>
      <c r="AE341" s="51">
        <v>71.844999999999999</v>
      </c>
      <c r="AF341" s="52">
        <f t="shared" si="226"/>
        <v>0.14360345088353113</v>
      </c>
    </row>
    <row r="342" spans="1:32">
      <c r="A342" s="65"/>
      <c r="B342" s="42">
        <f t="shared" si="240"/>
        <v>238</v>
      </c>
      <c r="C342" s="569">
        <f>IF('Registro Original'!C342 = "", "", 'Registro Original'!C342)</f>
        <v>0.67400000000000004</v>
      </c>
      <c r="D342" s="574" t="str">
        <f t="shared" si="238"/>
        <v/>
      </c>
      <c r="E342" s="42">
        <f t="shared" si="241"/>
        <v>239.5</v>
      </c>
      <c r="F342" s="569">
        <f>IF('Registro Original'!F342 = "", "", 'Registro Original'!F342)</f>
        <v>0.67400000000000004</v>
      </c>
      <c r="G342" s="36" t="str">
        <f t="shared" si="239"/>
        <v/>
      </c>
      <c r="U342" s="633">
        <v>405188829.71877098</v>
      </c>
      <c r="V342" s="612">
        <v>-8383772.8081042897</v>
      </c>
      <c r="W342" s="612">
        <v>69386.788421952006</v>
      </c>
      <c r="X342" s="612">
        <v>-287.13054168857298</v>
      </c>
      <c r="Y342" s="612">
        <v>0.59408333337873398</v>
      </c>
      <c r="Z342" s="612">
        <v>-4.9166666670430502E-4</v>
      </c>
      <c r="AA342" s="634">
        <v>0</v>
      </c>
      <c r="AB342" s="737" t="s">
        <v>459</v>
      </c>
      <c r="AC342" s="732">
        <f>IF(AC341="", "",AC341 +1)</f>
        <v>6</v>
      </c>
      <c r="AD342" s="50">
        <v>646.29999999999995</v>
      </c>
      <c r="AE342" s="51">
        <v>71.864000000000004</v>
      </c>
      <c r="AF342" s="52">
        <f t="shared" si="226"/>
        <v>0.1434886133270212</v>
      </c>
    </row>
    <row r="343" spans="1:32" ht="18">
      <c r="A343" s="65"/>
      <c r="B343" s="42">
        <f t="shared" si="240"/>
        <v>237</v>
      </c>
      <c r="C343" s="569">
        <f>IF('Registro Original'!C343 = "", "", 'Registro Original'!C343)</f>
        <v>0.68200000000000005</v>
      </c>
      <c r="D343" s="574" t="str">
        <f t="shared" si="238"/>
        <v/>
      </c>
      <c r="E343" s="42">
        <f t="shared" si="241"/>
        <v>239</v>
      </c>
      <c r="F343" s="569">
        <f>IF('Registro Original'!F343 = "", "", 'Registro Original'!F343)</f>
        <v>0.68400000000000005</v>
      </c>
      <c r="G343" s="36" t="str">
        <f t="shared" si="239"/>
        <v/>
      </c>
      <c r="U343" s="606" t="s">
        <v>373</v>
      </c>
      <c r="V343" s="607" t="s">
        <v>369</v>
      </c>
      <c r="W343" s="601" t="s">
        <v>375</v>
      </c>
      <c r="X343" s="601" t="s">
        <v>367</v>
      </c>
      <c r="Y343" s="601" t="s">
        <v>368</v>
      </c>
      <c r="Z343" s="635" t="s">
        <v>370</v>
      </c>
      <c r="AA343" s="636" t="s">
        <v>369</v>
      </c>
      <c r="AB343" s="737" t="s">
        <v>460</v>
      </c>
      <c r="AC343" s="605">
        <f xml:space="preserve"> 0.999999966001999</f>
        <v>0.99999996600199903</v>
      </c>
      <c r="AD343" s="50">
        <v>646.20000000000005</v>
      </c>
      <c r="AE343" s="51">
        <v>71.87</v>
      </c>
      <c r="AF343" s="52">
        <f t="shared" si="226"/>
        <v>0.14345235514325214</v>
      </c>
    </row>
    <row r="344" spans="1:32">
      <c r="A344" s="65"/>
      <c r="B344" s="42">
        <f t="shared" si="240"/>
        <v>236</v>
      </c>
      <c r="C344" s="569">
        <f>IF('Registro Original'!C344 = "", "", 'Registro Original'!C344)</f>
        <v>0.69199999999999995</v>
      </c>
      <c r="D344" s="574" t="str">
        <f t="shared" si="238"/>
        <v/>
      </c>
      <c r="E344" s="42">
        <f t="shared" si="241"/>
        <v>238.5</v>
      </c>
      <c r="F344" s="569">
        <f>IF('Registro Original'!F344 = "", "", 'Registro Original'!F344)</f>
        <v>0.69399999999999995</v>
      </c>
      <c r="G344" s="36" t="str">
        <f t="shared" si="239"/>
        <v/>
      </c>
      <c r="U344" s="608">
        <v>1</v>
      </c>
      <c r="V344" s="642">
        <v>241.1</v>
      </c>
      <c r="W344" s="604">
        <f t="shared" ref="W344:W350" si="242" xml:space="preserve"> $U$342 + $V$342*(V344) + $W$342*(V344^2) + $X$342*(V344^3) + $Y$342*(V344^4) + $Z$342*(V344^5) + $AA$342*(V344^6)</f>
        <v>0.72102934122085571</v>
      </c>
      <c r="X344" s="604">
        <f t="shared" ref="X344:X350" si="243" xml:space="preserve"> ($V$342 +  2*$W$342*(V344) +  3*$X$342*(V344^2) + 4*$Y$342*(V344^3) + 5*$Z$342*(V344^4) + 6*$AA$342*(V344^5))</f>
        <v>8.9241992682218552E-3</v>
      </c>
      <c r="Y344" s="617">
        <f t="shared" ref="Y344:Y350" si="244" xml:space="preserve"> (2*$W$342 + 6*$X$342*(V344) + 12*$Y$342*(V344^2) + 20*$Z$342*(V344^3) + 30*$AA$342*(V344^4))</f>
        <v>-2.6539832993876189E-2</v>
      </c>
      <c r="Z344" s="605">
        <f>V344 - (X344/Y344)</f>
        <v>241.43625679823535</v>
      </c>
      <c r="AA344" s="639">
        <v>241.46739531501731</v>
      </c>
      <c r="AB344" s="738" t="s">
        <v>461</v>
      </c>
      <c r="AC344" s="605">
        <f>IF(AC343="",  "", SQRT(AC343)/(AC342))</f>
        <v>0.1666666638334999</v>
      </c>
      <c r="AD344" s="50">
        <v>646.1</v>
      </c>
      <c r="AE344" s="51">
        <v>71.896000000000001</v>
      </c>
      <c r="AF344" s="52">
        <f t="shared" si="226"/>
        <v>0.14329527131741587</v>
      </c>
    </row>
    <row r="345" spans="1:32">
      <c r="A345" s="590" t="s">
        <v>351</v>
      </c>
      <c r="B345" s="42">
        <f t="shared" si="240"/>
        <v>235</v>
      </c>
      <c r="C345" s="569">
        <f>IF('Registro Original'!C345 = "", "", 'Registro Original'!C345)</f>
        <v>0.70299999999999996</v>
      </c>
      <c r="D345" s="574" t="str">
        <f t="shared" si="238"/>
        <v/>
      </c>
      <c r="E345" s="42">
        <f t="shared" si="241"/>
        <v>238</v>
      </c>
      <c r="F345" s="569">
        <f>IF('Registro Original'!F345 = "", "", 'Registro Original'!F345)</f>
        <v>0.70599999999999996</v>
      </c>
      <c r="G345" s="36" t="str">
        <f t="shared" si="239"/>
        <v/>
      </c>
      <c r="U345" s="608">
        <v>2</v>
      </c>
      <c r="V345" s="610">
        <f>Z344</f>
        <v>241.43625679823535</v>
      </c>
      <c r="W345" s="604">
        <f t="shared" si="242"/>
        <v>0.72260111570358276</v>
      </c>
      <c r="X345" s="604">
        <f t="shared" si="243"/>
        <v>6.7893043160438538E-4</v>
      </c>
      <c r="Y345" s="617">
        <f t="shared" si="244"/>
        <v>-2.2064857446821406E-2</v>
      </c>
      <c r="Z345" s="605">
        <f>V345 - (X345/Y345)</f>
        <v>241.46702656111466</v>
      </c>
      <c r="AA345" s="620" t="s">
        <v>371</v>
      </c>
      <c r="AB345" s="738" t="s">
        <v>463</v>
      </c>
      <c r="AC345" s="732">
        <f>COUNT(U332,U342)</f>
        <v>2</v>
      </c>
      <c r="AD345" s="50">
        <v>646</v>
      </c>
      <c r="AE345" s="51">
        <v>71.927000000000007</v>
      </c>
      <c r="AF345" s="52">
        <f t="shared" si="226"/>
        <v>0.14310805329043136</v>
      </c>
    </row>
    <row r="346" spans="1:32" ht="16.5">
      <c r="A346" s="65"/>
      <c r="B346" s="42">
        <f t="shared" si="240"/>
        <v>234</v>
      </c>
      <c r="C346" s="569" t="str">
        <f>IF('Registro Original'!C346 = "", "", 'Registro Original'!C346)</f>
        <v/>
      </c>
      <c r="D346" s="574" t="str">
        <f t="shared" si="238"/>
        <v/>
      </c>
      <c r="E346" s="42">
        <f t="shared" si="241"/>
        <v>237.5</v>
      </c>
      <c r="F346" s="569" t="str">
        <f>IF('Registro Original'!F346 = "", "", 'Registro Original'!F346)</f>
        <v/>
      </c>
      <c r="G346" s="36" t="str">
        <f t="shared" si="239"/>
        <v/>
      </c>
      <c r="U346" s="608">
        <v>3</v>
      </c>
      <c r="V346" s="610">
        <f t="shared" ref="V346:V350" si="245">Z345</f>
        <v>241.46702656111466</v>
      </c>
      <c r="W346" s="604">
        <f t="shared" si="242"/>
        <v>0.72261196374893188</v>
      </c>
      <c r="X346" s="604">
        <f t="shared" si="243"/>
        <v>7.9367309808731079E-6</v>
      </c>
      <c r="Y346" s="617">
        <f t="shared" si="244"/>
        <v>-2.1546562988078222E-2</v>
      </c>
      <c r="Z346" s="605">
        <f t="shared" ref="Z346:Z350" si="246">V346 - (X346/Y346)</f>
        <v>241.46739491364426</v>
      </c>
      <c r="AA346" s="637">
        <f xml:space="preserve"> ($V$342 +  2*$W$342*(AA344) +  3*$X$342*(AA344^2) + 4*$Y$342*(AA344^3) + 5*$Z$342*(AA344^4) + 6*$AA$342*(AA344^5))</f>
        <v>-1.862645149230957E-9</v>
      </c>
      <c r="AB346" s="739" t="s">
        <v>462</v>
      </c>
      <c r="AC346" s="634">
        <f>IF(AC344="", "", AC344/SQRT(AC345))</f>
        <v>0.11785112819440648</v>
      </c>
      <c r="AD346" s="50">
        <v>645.9</v>
      </c>
      <c r="AE346" s="51">
        <v>71.929000000000002</v>
      </c>
      <c r="AF346" s="52">
        <f t="shared" si="226"/>
        <v>0.14309597747901079</v>
      </c>
    </row>
    <row r="347" spans="1:32">
      <c r="A347" s="65"/>
      <c r="B347" s="42">
        <f t="shared" si="240"/>
        <v>233</v>
      </c>
      <c r="C347" s="569" t="str">
        <f>IF('Registro Original'!C347 = "", "", 'Registro Original'!C347)</f>
        <v/>
      </c>
      <c r="D347" s="574" t="str">
        <f t="shared" si="238"/>
        <v/>
      </c>
      <c r="E347" s="42">
        <f t="shared" si="241"/>
        <v>237</v>
      </c>
      <c r="F347" s="569" t="str">
        <f>IF('Registro Original'!F347 = "", "", 'Registro Original'!F347)</f>
        <v/>
      </c>
      <c r="G347" s="36" t="str">
        <f t="shared" si="239"/>
        <v/>
      </c>
      <c r="U347" s="608">
        <v>4</v>
      </c>
      <c r="V347" s="610">
        <f t="shared" si="245"/>
        <v>241.46739491364426</v>
      </c>
      <c r="W347" s="604">
        <f t="shared" si="242"/>
        <v>0.72261208295822144</v>
      </c>
      <c r="X347" s="604">
        <f t="shared" si="243"/>
        <v>1.862645149230957E-9</v>
      </c>
      <c r="Y347" s="617">
        <f t="shared" si="244"/>
        <v>-2.1540289191761985E-2</v>
      </c>
      <c r="Z347" s="605">
        <f t="shared" si="246"/>
        <v>241.46739500011688</v>
      </c>
      <c r="AA347" s="621"/>
      <c r="AD347" s="50">
        <v>645.79999999999995</v>
      </c>
      <c r="AE347" s="51">
        <v>72.025000000000006</v>
      </c>
      <c r="AF347" s="52">
        <f t="shared" si="226"/>
        <v>0.14251673304754939</v>
      </c>
    </row>
    <row r="348" spans="1:32">
      <c r="A348" s="65"/>
      <c r="B348" s="42">
        <f t="shared" si="240"/>
        <v>232</v>
      </c>
      <c r="C348" s="569" t="str">
        <f>IF('Registro Original'!C348 = "", "", 'Registro Original'!C348)</f>
        <v/>
      </c>
      <c r="D348" s="574" t="str">
        <f t="shared" si="238"/>
        <v/>
      </c>
      <c r="E348" s="42">
        <f t="shared" si="241"/>
        <v>236.5</v>
      </c>
      <c r="F348" s="569" t="str">
        <f>IF('Registro Original'!F348 = "", "", 'Registro Original'!F348)</f>
        <v/>
      </c>
      <c r="G348" s="36" t="str">
        <f t="shared" si="239"/>
        <v/>
      </c>
      <c r="U348" s="608">
        <v>5</v>
      </c>
      <c r="V348" s="610">
        <f t="shared" si="245"/>
        <v>241.46739500011688</v>
      </c>
      <c r="W348" s="604">
        <f t="shared" si="242"/>
        <v>0.72261208295822144</v>
      </c>
      <c r="X348" s="604">
        <f t="shared" si="243"/>
        <v>5.5879354476928711E-9</v>
      </c>
      <c r="Y348" s="617">
        <f t="shared" si="244"/>
        <v>-2.1540287765674293E-2</v>
      </c>
      <c r="Z348" s="605">
        <f t="shared" si="246"/>
        <v>241.46739525953475</v>
      </c>
      <c r="AA348" s="621"/>
      <c r="AD348" s="50">
        <v>645.70000000000005</v>
      </c>
      <c r="AE348" s="51">
        <v>72.066000000000003</v>
      </c>
      <c r="AF348" s="52">
        <f t="shared" si="226"/>
        <v>0.14226958264622541</v>
      </c>
    </row>
    <row r="349" spans="1:32">
      <c r="A349" s="65"/>
      <c r="B349" s="42">
        <f t="shared" si="240"/>
        <v>231</v>
      </c>
      <c r="C349" s="569" t="str">
        <f>IF('Registro Original'!C349 = "", "", 'Registro Original'!C349)</f>
        <v/>
      </c>
      <c r="D349" s="574" t="str">
        <f t="shared" si="238"/>
        <v/>
      </c>
      <c r="E349" s="42">
        <f t="shared" si="241"/>
        <v>236</v>
      </c>
      <c r="F349" s="569" t="str">
        <f>IF('Registro Original'!F349 = "", "", 'Registro Original'!F349)</f>
        <v/>
      </c>
      <c r="G349" s="36" t="str">
        <f t="shared" si="239"/>
        <v/>
      </c>
      <c r="U349" s="608">
        <v>6</v>
      </c>
      <c r="V349" s="610">
        <f t="shared" si="245"/>
        <v>241.46739525953475</v>
      </c>
      <c r="W349" s="604">
        <f t="shared" si="242"/>
        <v>0.72261184453964233</v>
      </c>
      <c r="X349" s="604">
        <f t="shared" si="243"/>
        <v>9.3132257461547852E-10</v>
      </c>
      <c r="Y349" s="617">
        <f t="shared" si="244"/>
        <v>-2.1540283370995894E-2</v>
      </c>
      <c r="Z349" s="605">
        <f t="shared" si="246"/>
        <v>241.46739530277108</v>
      </c>
      <c r="AA349" s="621"/>
      <c r="AD349" s="50">
        <v>645.6</v>
      </c>
      <c r="AE349" s="51">
        <v>72.138999999999996</v>
      </c>
      <c r="AF349" s="52">
        <f t="shared" si="226"/>
        <v>0.14182988222131543</v>
      </c>
    </row>
    <row r="350" spans="1:32">
      <c r="A350" s="65"/>
      <c r="B350" s="42">
        <f t="shared" si="240"/>
        <v>230</v>
      </c>
      <c r="C350" s="569" t="str">
        <f>IF('Registro Original'!C350 = "", "", 'Registro Original'!C350)</f>
        <v/>
      </c>
      <c r="D350" s="574" t="str">
        <f t="shared" si="238"/>
        <v/>
      </c>
      <c r="E350" s="42">
        <f t="shared" si="241"/>
        <v>235.5</v>
      </c>
      <c r="F350" s="569" t="str">
        <f>IF('Registro Original'!F350 = "", "", 'Registro Original'!F350)</f>
        <v/>
      </c>
      <c r="G350" s="36" t="str">
        <f t="shared" si="239"/>
        <v/>
      </c>
      <c r="U350" s="611">
        <v>7</v>
      </c>
      <c r="V350" s="658">
        <f t="shared" si="245"/>
        <v>241.46739530277108</v>
      </c>
      <c r="W350" s="612">
        <f t="shared" si="242"/>
        <v>0.72261208295822144</v>
      </c>
      <c r="X350" s="612">
        <f t="shared" si="243"/>
        <v>0</v>
      </c>
      <c r="Y350" s="618">
        <f t="shared" si="244"/>
        <v>-2.1540282614296302E-2</v>
      </c>
      <c r="Z350" s="634">
        <f t="shared" si="246"/>
        <v>241.46739530277108</v>
      </c>
      <c r="AA350" s="622"/>
      <c r="AD350" s="50">
        <v>645.5</v>
      </c>
      <c r="AE350" s="51">
        <v>72.126000000000005</v>
      </c>
      <c r="AF350" s="52">
        <f t="shared" si="226"/>
        <v>0.14190815246399413</v>
      </c>
    </row>
    <row r="351" spans="1:32" ht="15.75" thickBot="1">
      <c r="A351" s="66"/>
      <c r="B351" s="47">
        <f t="shared" si="240"/>
        <v>229</v>
      </c>
      <c r="C351" s="570" t="str">
        <f>IF('Registro Original'!C351 = "", "", 'Registro Original'!C351)</f>
        <v/>
      </c>
      <c r="D351" s="575" t="str">
        <f t="shared" si="238"/>
        <v/>
      </c>
      <c r="E351" s="47">
        <f t="shared" si="241"/>
        <v>235</v>
      </c>
      <c r="F351" s="570" t="str">
        <f>IF('Registro Original'!F351 = "", "", 'Registro Original'!F351)</f>
        <v/>
      </c>
      <c r="G351" s="571" t="str">
        <f t="shared" si="239"/>
        <v/>
      </c>
      <c r="AD351" s="50">
        <v>645.4</v>
      </c>
      <c r="AE351" s="51">
        <v>72.144999999999996</v>
      </c>
      <c r="AF351" s="52">
        <f t="shared" si="226"/>
        <v>0.14179376225107729</v>
      </c>
    </row>
    <row r="352" spans="1:32" ht="15.75" thickTop="1">
      <c r="AD352" s="50">
        <v>645.29999999999995</v>
      </c>
      <c r="AE352" s="51">
        <v>72.194999999999993</v>
      </c>
      <c r="AF352" s="52">
        <f t="shared" si="226"/>
        <v>0.14149287926696028</v>
      </c>
    </row>
    <row r="353" spans="3:32">
      <c r="AD353" s="50">
        <v>645.20000000000005</v>
      </c>
      <c r="AE353" s="51">
        <v>72.162999999999997</v>
      </c>
      <c r="AF353" s="52">
        <f t="shared" si="226"/>
        <v>0.14168542036130261</v>
      </c>
    </row>
    <row r="354" spans="3:32">
      <c r="AD354" s="50">
        <v>645.1</v>
      </c>
      <c r="AE354" s="51">
        <v>72.186999999999998</v>
      </c>
      <c r="AF354" s="52">
        <f t="shared" si="226"/>
        <v>0.14154100653848692</v>
      </c>
    </row>
    <row r="355" spans="3:32">
      <c r="AD355" s="50">
        <v>645</v>
      </c>
      <c r="AE355" s="51">
        <v>72.207999999999998</v>
      </c>
      <c r="AF355" s="52">
        <f t="shared" si="226"/>
        <v>0.14141468382392941</v>
      </c>
    </row>
    <row r="356" spans="3:32">
      <c r="AD356" s="50">
        <v>644.9</v>
      </c>
      <c r="AE356" s="51">
        <v>72.244</v>
      </c>
      <c r="AF356" s="52">
        <f t="shared" si="226"/>
        <v>0.14119821604678262</v>
      </c>
    </row>
    <row r="357" spans="3:32">
      <c r="AD357" s="50">
        <v>644.79999999999995</v>
      </c>
      <c r="AE357" s="51">
        <v>72.281000000000006</v>
      </c>
      <c r="AF357" s="52">
        <f t="shared" si="226"/>
        <v>0.14097584765125956</v>
      </c>
    </row>
    <row r="358" spans="3:32">
      <c r="AD358" s="50">
        <v>644.70000000000005</v>
      </c>
      <c r="AE358" s="51">
        <v>72.31</v>
      </c>
      <c r="AF358" s="52">
        <f t="shared" si="226"/>
        <v>0.14080163846612254</v>
      </c>
    </row>
    <row r="359" spans="3:32">
      <c r="D359" s="814" t="s">
        <v>85</v>
      </c>
      <c r="E359" s="814"/>
      <c r="F359" s="814"/>
      <c r="G359" s="814"/>
      <c r="H359" s="814"/>
      <c r="I359" s="814"/>
      <c r="J359" s="814"/>
      <c r="K359" s="814"/>
      <c r="L359" s="814"/>
      <c r="M359" s="814"/>
      <c r="N359" s="814"/>
      <c r="O359" s="814"/>
      <c r="P359" s="814"/>
      <c r="Q359" s="814"/>
      <c r="R359" s="814"/>
      <c r="AD359" s="50">
        <v>644.6</v>
      </c>
      <c r="AE359" s="51">
        <v>72.352999999999994</v>
      </c>
      <c r="AF359" s="52">
        <f t="shared" si="226"/>
        <v>0.14054345685407496</v>
      </c>
    </row>
    <row r="360" spans="3:32">
      <c r="AD360" s="50">
        <v>644.5</v>
      </c>
      <c r="AE360" s="51">
        <v>72.411000000000001</v>
      </c>
      <c r="AF360" s="52">
        <f t="shared" si="226"/>
        <v>0.14019545484669471</v>
      </c>
    </row>
    <row r="361" spans="3:32" ht="19.5" thickBot="1">
      <c r="D361" s="793" t="s">
        <v>71</v>
      </c>
      <c r="E361" s="794"/>
      <c r="F361" s="794"/>
      <c r="G361" s="794"/>
      <c r="H361" s="794"/>
      <c r="I361" s="794"/>
      <c r="J361" s="794"/>
      <c r="K361" s="794"/>
      <c r="L361" s="794"/>
      <c r="M361" s="794"/>
      <c r="N361" s="794"/>
      <c r="O361" s="794"/>
      <c r="P361" s="794"/>
      <c r="Q361" s="794"/>
      <c r="R361" s="794"/>
      <c r="S361" s="795"/>
      <c r="U361" s="793" t="s">
        <v>392</v>
      </c>
      <c r="V361" s="794"/>
      <c r="W361" s="794"/>
      <c r="X361" s="794"/>
      <c r="Y361" s="794"/>
      <c r="Z361" s="794"/>
      <c r="AA361" s="794"/>
      <c r="AB361" s="794"/>
      <c r="AC361" s="795"/>
      <c r="AD361" s="50">
        <v>644.4</v>
      </c>
      <c r="AE361" s="51">
        <v>72.48</v>
      </c>
      <c r="AF361" s="52">
        <f t="shared" si="226"/>
        <v>0.13978181533124334</v>
      </c>
    </row>
    <row r="362" spans="3:32" ht="16.5" thickBot="1">
      <c r="F362" s="581" t="s">
        <v>438</v>
      </c>
      <c r="G362" s="582"/>
      <c r="H362" s="582"/>
      <c r="I362" s="582"/>
      <c r="J362" s="582"/>
      <c r="K362" s="583"/>
      <c r="M362" s="581" t="s">
        <v>441</v>
      </c>
      <c r="N362" s="582"/>
      <c r="O362" s="582"/>
      <c r="P362" s="582"/>
      <c r="Q362" s="582"/>
      <c r="R362" s="583"/>
      <c r="AD362" s="50">
        <v>644.29999999999995</v>
      </c>
      <c r="AE362" s="51">
        <v>72.456999999999994</v>
      </c>
      <c r="AF362" s="52">
        <f t="shared" si="226"/>
        <v>0.13991965140026125</v>
      </c>
    </row>
    <row r="363" spans="3:32" ht="16.5" thickBot="1">
      <c r="F363" s="87" t="s">
        <v>84</v>
      </c>
      <c r="G363" s="88">
        <v>440</v>
      </c>
      <c r="H363" s="88">
        <v>465</v>
      </c>
      <c r="I363" s="88">
        <v>546.1</v>
      </c>
      <c r="J363" s="88">
        <v>590</v>
      </c>
      <c r="K363" s="89">
        <v>635</v>
      </c>
      <c r="M363" s="87" t="s">
        <v>84</v>
      </c>
      <c r="N363" s="88">
        <v>440</v>
      </c>
      <c r="O363" s="88">
        <v>465</v>
      </c>
      <c r="P363" s="88">
        <v>546.1</v>
      </c>
      <c r="Q363" s="88">
        <v>590</v>
      </c>
      <c r="R363" s="89">
        <v>635</v>
      </c>
      <c r="V363" s="826" t="s">
        <v>393</v>
      </c>
      <c r="W363" s="827"/>
      <c r="X363" s="827"/>
      <c r="Y363" s="827"/>
      <c r="Z363" s="827"/>
      <c r="AA363" s="827"/>
      <c r="AB363" s="827"/>
      <c r="AC363" s="828"/>
      <c r="AD363" s="50">
        <v>644.20000000000005</v>
      </c>
      <c r="AE363" s="51">
        <v>72.507999999999996</v>
      </c>
      <c r="AF363" s="52">
        <f t="shared" si="226"/>
        <v>0.13961407392306527</v>
      </c>
    </row>
    <row r="364" spans="3:32" ht="15.75" thickBot="1">
      <c r="F364" s="90" t="s">
        <v>86</v>
      </c>
      <c r="G364" s="91">
        <f xml:space="preserve"> IF($H$44 &lt; 5, VLOOKUP($F$365,'Cadastro - Padrões Absorbância'!$D$7:$K$9,4,FALSE), IF($H$44 = 5, VLOOKUP($F$365,'Cadastro - Padrões Absorbância'!$D$10:$K$12, 4,FALSE)))</f>
        <v>0.26629999999999998</v>
      </c>
      <c r="H364" s="91">
        <f xml:space="preserve"> IF($H$44 &lt; 5, VLOOKUP($F$365,'Cadastro - Padrões Absorbância'!$D$7:$K$9,5,FALSE), IF($H$44 = 5, VLOOKUP($F$365,'Cadastro - Padrões Absorbância'!$D$10:$K$12, 5,FALSE)))</f>
        <v>0.24030000000000001</v>
      </c>
      <c r="I364" s="91">
        <f xml:space="preserve"> IF($H$44 &lt; 5, VLOOKUP($F$365,'Cadastro - Padrões Absorbância'!$D$7:$K$9,6,FALSE), IF($H$44 = 5, VLOOKUP($F$365,'Cadastro - Padrões Absorbância'!$D$10:$K$12, 6,FALSE)))</f>
        <v>0.24990000000000001</v>
      </c>
      <c r="J364" s="91">
        <f xml:space="preserve"> IF($H$44 &lt; 5, VLOOKUP($F$365,'Cadastro - Padrões Absorbância'!$D$7:$K$9,7,FALSE), IF($H$44 = 5, VLOOKUP($F$365,'Cadastro - Padrões Absorbância'!$D$10:$K$12, 7,FALSE)))</f>
        <v>0.29380000000000001</v>
      </c>
      <c r="K364" s="92">
        <f xml:space="preserve"> IF($H$44 &lt; 5, VLOOKUP($F$365,'Cadastro - Padrões Absorbância'!$D$7:$K$9,8,FALSE), IF($H$44 = 5, VLOOKUP($F$365,'Cadastro - Padrões Absorbância'!$D$10:$K$12, 8,FALSE)))</f>
        <v>0.30159999999999998</v>
      </c>
      <c r="M364" s="90" t="s">
        <v>86</v>
      </c>
      <c r="N364" s="91">
        <f>G364</f>
        <v>0.26629999999999998</v>
      </c>
      <c r="O364" s="91">
        <f t="shared" ref="O364:R364" si="247">H364</f>
        <v>0.24030000000000001</v>
      </c>
      <c r="P364" s="91">
        <f t="shared" si="247"/>
        <v>0.24990000000000001</v>
      </c>
      <c r="Q364" s="91">
        <f t="shared" si="247"/>
        <v>0.29380000000000001</v>
      </c>
      <c r="R364" s="92">
        <f t="shared" si="247"/>
        <v>0.30159999999999998</v>
      </c>
      <c r="V364" s="825" t="s">
        <v>410</v>
      </c>
      <c r="W364" s="825"/>
      <c r="X364" s="825"/>
      <c r="Y364" s="825"/>
      <c r="Z364" s="825"/>
      <c r="AA364" s="825"/>
      <c r="AB364" s="742">
        <f>H43</f>
        <v>1</v>
      </c>
      <c r="AD364" s="50">
        <v>644.1</v>
      </c>
      <c r="AE364" s="51">
        <v>72.477999999999994</v>
      </c>
      <c r="AF364" s="52">
        <f t="shared" si="226"/>
        <v>0.13979379933990602</v>
      </c>
    </row>
    <row r="365" spans="3:32">
      <c r="F365" s="719" t="s">
        <v>45</v>
      </c>
      <c r="G365" s="123">
        <v>0.26800000000000002</v>
      </c>
      <c r="H365" s="123">
        <v>0.249</v>
      </c>
      <c r="I365" s="124">
        <v>0.25</v>
      </c>
      <c r="J365" s="123">
        <v>0.29199999999999998</v>
      </c>
      <c r="K365" s="125">
        <v>0.30199999999999999</v>
      </c>
      <c r="M365" s="262" t="s">
        <v>100</v>
      </c>
      <c r="N365" s="134">
        <f>IF(ISNUMBER(G365),COUNTA(G365:G365,G366:G366,G367:G367,G368:G368),"")</f>
        <v>4</v>
      </c>
      <c r="O365" s="134">
        <f>IF(ISNUMBER(H365),COUNTA(H365:H365,H366:H366,H367:H367,H368:H368),"")</f>
        <v>4</v>
      </c>
      <c r="P365" s="134">
        <f>IF(ISNUMBER(I365),COUNTA(I365:I365,I366:I366,I367:I367,I368:I368),"")</f>
        <v>4</v>
      </c>
      <c r="Q365" s="134">
        <f>IF(ISNUMBER(J365),COUNTA(J365:J365,J366:J366,J367:J367,J368:J368),"")</f>
        <v>4</v>
      </c>
      <c r="R365" s="135">
        <f>IF(ISNUMBER(K365),COUNTA(K365:K365,K366:K366,K367:K367,K368:K368),"")</f>
        <v>4</v>
      </c>
      <c r="V365" s="670" t="s">
        <v>394</v>
      </c>
      <c r="W365" s="669" t="s">
        <v>395</v>
      </c>
      <c r="X365" s="669" t="s">
        <v>396</v>
      </c>
      <c r="Y365" s="670" t="s">
        <v>99</v>
      </c>
      <c r="Z365" s="670" t="s">
        <v>424</v>
      </c>
      <c r="AA365" s="670" t="s">
        <v>397</v>
      </c>
      <c r="AB365" s="670" t="s">
        <v>465</v>
      </c>
      <c r="AC365" s="670" t="s">
        <v>398</v>
      </c>
      <c r="AD365" s="50">
        <v>644</v>
      </c>
      <c r="AE365" s="51">
        <v>72.451999999999998</v>
      </c>
      <c r="AF365" s="52">
        <f t="shared" si="226"/>
        <v>0.13994962155270696</v>
      </c>
    </row>
    <row r="366" spans="3:32" ht="15" customHeight="1">
      <c r="F366" s="579"/>
      <c r="G366" s="33">
        <v>0.26500000000000001</v>
      </c>
      <c r="H366" s="33">
        <v>0.247</v>
      </c>
      <c r="I366" s="94">
        <v>0.25</v>
      </c>
      <c r="J366" s="33">
        <v>0.29299999999999998</v>
      </c>
      <c r="K366" s="126">
        <v>0.30199999999999999</v>
      </c>
      <c r="M366" s="263" t="s">
        <v>97</v>
      </c>
      <c r="N366" s="704">
        <f>IF(ISNUMBER(G365),AVERAGE(G365:G368),"")</f>
        <v>0.26724999999999999</v>
      </c>
      <c r="O366" s="704">
        <f>IF(ISNUMBER(H365),AVERAGE(H365:H368),"")</f>
        <v>0.24775</v>
      </c>
      <c r="P366" s="704">
        <f>IF(ISNUMBER(I365),AVERAGE(I365:I368),"")</f>
        <v>0.24975</v>
      </c>
      <c r="Q366" s="704">
        <f>IF(ISNUMBER(J365),AVERAGE(J365:J368),"")</f>
        <v>0.29174999999999995</v>
      </c>
      <c r="R366" s="705">
        <f>IF(ISNUMBER(K365),AVERAGE(K365:K368),"")</f>
        <v>0.30124999999999996</v>
      </c>
      <c r="V366" s="671" t="s">
        <v>399</v>
      </c>
      <c r="W366" s="654">
        <f>VLOOKUP('Registro Tratado'!$AB$364,'Cadastro - Padrões Lambda'!$E$59:$Q$67, 2)</f>
        <v>241.58</v>
      </c>
      <c r="X366" s="51">
        <f>(V340/(AC336^2) + V350/(AC346^2))/(1/(AC336^2) + 1/(AC346^2))</f>
        <v>241.35598315245076</v>
      </c>
      <c r="Y366" s="51">
        <f t="shared" ref="Y366:Y376" si="248">IF(W366&lt;&gt;"--x--", X366 - W366, "--x--")</f>
        <v>-0.224016847549251</v>
      </c>
      <c r="Z366" s="740">
        <f xml:space="preserve"> 1/(1/(AC336^2) + 1/(AC346^2))</f>
        <v>6.9444439314884374E-3</v>
      </c>
      <c r="AA366" s="51">
        <f>'Incerteza Lambda'!AK18</f>
        <v>3.3068299207201113</v>
      </c>
      <c r="AB366" s="733">
        <f>AC341 -1</f>
        <v>4</v>
      </c>
      <c r="AC366" s="685">
        <f>'Incerteza Lambda'!AK16</f>
        <v>3.1009360212518691</v>
      </c>
      <c r="AD366" s="50">
        <v>643.9</v>
      </c>
      <c r="AE366" s="51">
        <v>72.456999999999994</v>
      </c>
      <c r="AF366" s="52">
        <f t="shared" si="226"/>
        <v>0.13991965140026125</v>
      </c>
    </row>
    <row r="367" spans="3:32" ht="15" customHeight="1">
      <c r="C367" t="s">
        <v>216</v>
      </c>
      <c r="D367">
        <v>25.6</v>
      </c>
      <c r="F367" s="579"/>
      <c r="G367" s="94">
        <v>0.27</v>
      </c>
      <c r="H367" s="33">
        <v>0.247</v>
      </c>
      <c r="I367" s="94">
        <v>0.249</v>
      </c>
      <c r="J367" s="33">
        <v>0.29099999999999998</v>
      </c>
      <c r="K367" s="131">
        <v>0.3</v>
      </c>
      <c r="M367" s="264" t="s">
        <v>174</v>
      </c>
      <c r="N367" s="138">
        <f>IF(ISNUMBER(G370),AVERAGE(G370:G373),"")</f>
        <v>0</v>
      </c>
      <c r="O367" s="138">
        <f>IF(ISNUMBER(H370),AVERAGE(H370:H373),"")</f>
        <v>0</v>
      </c>
      <c r="P367" s="138">
        <f>IF(ISNUMBER(I370),AVERAGE(I370:I373),"")</f>
        <v>0</v>
      </c>
      <c r="Q367" s="138">
        <f>IF(ISNUMBER(J370),AVERAGE(J370:J373),"")</f>
        <v>0</v>
      </c>
      <c r="R367" s="139">
        <f>IF(ISNUMBER(K370),AVERAGE(K370:K373),"")</f>
        <v>0</v>
      </c>
      <c r="V367" s="671" t="s">
        <v>400</v>
      </c>
      <c r="W367" s="654">
        <f>VLOOKUP('Registro Tratado'!$AB$364,'Cadastro - Padrões Lambda'!$E$59:$Q$67, 3)</f>
        <v>279.38</v>
      </c>
      <c r="X367" s="51">
        <f>(V315/(AC311^2) +V325/(AC321^2))/(1/(AC311^2) + 1/(AC321^2))</f>
        <v>279.25148690254872</v>
      </c>
      <c r="Y367" s="51">
        <f t="shared" si="248"/>
        <v>-0.12851309745127537</v>
      </c>
      <c r="Z367" s="740">
        <f xml:space="preserve"> 1/(1/(AC311^2) + 1/(AC321^2))</f>
        <v>5.1020449682042252E-3</v>
      </c>
      <c r="AA367" s="51">
        <f>'Incerteza Lambda'!AL18</f>
        <v>2</v>
      </c>
      <c r="AB367" s="733">
        <f>AC306 -1</f>
        <v>5</v>
      </c>
      <c r="AC367" s="685" t="str">
        <f>'Incerteza Lambda'!AL16</f>
        <v>∞</v>
      </c>
      <c r="AD367" s="50">
        <v>643.79999999999995</v>
      </c>
      <c r="AE367" s="51">
        <v>72.430999999999997</v>
      </c>
      <c r="AF367" s="52">
        <f t="shared" si="226"/>
        <v>0.14007551878266264</v>
      </c>
    </row>
    <row r="368" spans="3:32" ht="15" customHeight="1" thickBot="1">
      <c r="F368" s="579"/>
      <c r="G368" s="127">
        <v>0.26600000000000001</v>
      </c>
      <c r="H368" s="127">
        <v>0.248</v>
      </c>
      <c r="I368" s="132">
        <v>0.25</v>
      </c>
      <c r="J368" s="127">
        <v>0.29099999999999998</v>
      </c>
      <c r="K368" s="128">
        <v>0.30099999999999999</v>
      </c>
      <c r="M368" s="264" t="s">
        <v>98</v>
      </c>
      <c r="N368" s="706">
        <f>IF(ISNUMBER(N367),IF(ISNUMBER(N366),N366-N367,""),"")</f>
        <v>0.26724999999999999</v>
      </c>
      <c r="O368" s="706">
        <f>IF(ISNUMBER(O367),IF(ISNUMBER(O366),O366-O367,""),"")</f>
        <v>0.24775</v>
      </c>
      <c r="P368" s="706">
        <f>IF(ISNUMBER(P367),IF(ISNUMBER(P366),P366-P367,""),"")</f>
        <v>0.24975</v>
      </c>
      <c r="Q368" s="706">
        <f>IF(ISNUMBER(Q367),IF(ISNUMBER(Q366),Q366-Q367,""),"")</f>
        <v>0.29174999999999995</v>
      </c>
      <c r="R368" s="707">
        <f>IF(ISNUMBER(R367),IF(ISNUMBER(R366),R366-R367,""),"")</f>
        <v>0.30124999999999996</v>
      </c>
      <c r="V368" s="671" t="s">
        <v>401</v>
      </c>
      <c r="W368" s="654">
        <f>VLOOKUP('Registro Tratado'!$AB$364,'Cadastro - Padrões Lambda'!$E$59:$Q$67, 4)</f>
        <v>287.58</v>
      </c>
      <c r="X368" s="51">
        <f>(V290/(AC286^2) + V300/(AC296^2))/(1/(AC286^2) + 1/(AC296^2))</f>
        <v>288.81543484223624</v>
      </c>
      <c r="Y368" s="51">
        <f t="shared" si="248"/>
        <v>1.2354348422362591</v>
      </c>
      <c r="Z368" s="740">
        <f xml:space="preserve"> 1/(1/(AC286^2) + 1/(AC296^2))</f>
        <v>5.1020412632172786E-3</v>
      </c>
      <c r="AA368" s="51">
        <f>'Incerteza Lambda'!AM18</f>
        <v>2</v>
      </c>
      <c r="AB368" s="733">
        <f>AC281 -1</f>
        <v>5</v>
      </c>
      <c r="AC368" s="685" t="str">
        <f>'Incerteza Lambda'!AM16</f>
        <v>∞</v>
      </c>
      <c r="AD368" s="50">
        <v>643.70000000000005</v>
      </c>
      <c r="AE368" s="51">
        <v>72.445999999999998</v>
      </c>
      <c r="AF368" s="52">
        <f t="shared" si="226"/>
        <v>0.13998558846588599</v>
      </c>
    </row>
    <row r="369" spans="6:32" ht="15" customHeight="1" thickBot="1">
      <c r="F369" s="579"/>
      <c r="G369" s="584" t="s">
        <v>171</v>
      </c>
      <c r="H369" s="582"/>
      <c r="I369" s="582"/>
      <c r="J369" s="582"/>
      <c r="K369" s="583"/>
      <c r="M369" s="263" t="s">
        <v>99</v>
      </c>
      <c r="N369" s="138">
        <f xml:space="preserve"> IF(ISNUMBER(N368),N368 - N364,"")</f>
        <v>9.5000000000000639E-4</v>
      </c>
      <c r="O369" s="138">
        <f xml:space="preserve"> IF(ISNUMBER(O368),O368 - O364,"")</f>
        <v>7.4499999999999844E-3</v>
      </c>
      <c r="P369" s="138">
        <f xml:space="preserve"> IF(ISNUMBER(P368),P368 - P364,"")</f>
        <v>-1.5000000000001124E-4</v>
      </c>
      <c r="Q369" s="138">
        <f xml:space="preserve"> IF(ISNUMBER(Q368),Q368 - Q364,"")</f>
        <v>-2.0500000000000518E-3</v>
      </c>
      <c r="R369" s="139">
        <f xml:space="preserve"> IF(ISNUMBER(R368),R368 - R364,"")</f>
        <v>-3.5000000000001696E-4</v>
      </c>
      <c r="V369" s="671" t="s">
        <v>402</v>
      </c>
      <c r="W369" s="654">
        <f>VLOOKUP('Registro Tratado'!$AB$364,'Cadastro - Padrões Lambda'!$E$59:$Q$67, 5)</f>
        <v>333.84</v>
      </c>
      <c r="X369" s="51">
        <f>(V265/(AC261^2)+V275/(AC271^2))/(1/(AC261^2) + 1/(AC271^2))</f>
        <v>334.90966692368266</v>
      </c>
      <c r="Y369" s="51">
        <f t="shared" si="248"/>
        <v>1.0696669236826892</v>
      </c>
      <c r="Z369" s="740">
        <f xml:space="preserve"> 1/(1/(AC261^2) + 1/(AC271^2))</f>
        <v>6.9444444383187105E-3</v>
      </c>
      <c r="AA369" s="51">
        <f>'Incerteza Lambda'!AN18</f>
        <v>4.5265507600819923</v>
      </c>
      <c r="AB369" s="733">
        <f>AC256 -1</f>
        <v>4</v>
      </c>
      <c r="AC369" s="685">
        <f>'Incerteza Lambda'!AN16</f>
        <v>2.3490752136054582</v>
      </c>
      <c r="AD369" s="50">
        <v>643.6</v>
      </c>
      <c r="AE369" s="51">
        <v>72.456999999999994</v>
      </c>
      <c r="AF369" s="52">
        <f t="shared" si="226"/>
        <v>0.13991965140026125</v>
      </c>
    </row>
    <row r="370" spans="6:32" ht="14.25" customHeight="1" thickBot="1">
      <c r="F370" s="579"/>
      <c r="G370" s="94">
        <v>0</v>
      </c>
      <c r="H370" s="94">
        <v>0</v>
      </c>
      <c r="I370" s="94">
        <v>0</v>
      </c>
      <c r="J370" s="94">
        <v>0</v>
      </c>
      <c r="K370" s="131">
        <v>0</v>
      </c>
      <c r="M370" s="265" t="s">
        <v>101</v>
      </c>
      <c r="N370" s="140">
        <f>IF(ISNUMBER(N368),SQRT(DEVSQ(G365:G368)/(N365-1))/SQRT(N365),"")</f>
        <v>1.1086778913041737E-3</v>
      </c>
      <c r="O370" s="140">
        <f>IF(ISNUMBER(O368),SQRT(DEVSQ(H365:H368)/(O365-1))/SQRT(O365),"")</f>
        <v>4.7871355387816948E-4</v>
      </c>
      <c r="P370" s="140">
        <f>IF(ISNUMBER(P368),SQRT(DEVSQ(I365:I368)/(P365-1))/SQRT(P365),"")</f>
        <v>2.5000000000000022E-4</v>
      </c>
      <c r="Q370" s="140">
        <f>IF(ISNUMBER(Q368),SQRT(DEVSQ(J365:J368)/(Q365-1))/SQRT(Q365),"")</f>
        <v>4.7871355387816948E-4</v>
      </c>
      <c r="R370" s="140">
        <f>IF(ISNUMBER(R368),SQRT(DEVSQ(K365:K368)/(R365-1))/SQRT(R365),"")</f>
        <v>4.7871355387816948E-4</v>
      </c>
      <c r="V370" s="671" t="s">
        <v>403</v>
      </c>
      <c r="W370" s="654">
        <f>VLOOKUP('Registro Tratado'!$AB$364,'Cadastro - Padrões Lambda'!$E$59:$Q$67, 6)</f>
        <v>360.84</v>
      </c>
      <c r="X370" s="51">
        <f>(V240/(AC236^2) +V250/(AC246^2))/(1/(AC236^2) + 1/(AC246^2))</f>
        <v>362.02421700199284</v>
      </c>
      <c r="Y370" s="51">
        <f t="shared" si="248"/>
        <v>1.1842170019928631</v>
      </c>
      <c r="Z370" s="740">
        <f xml:space="preserve"> 1/(1/(AC236^2) + 1/(AC246^2))</f>
        <v>5.1020409648541041E-3</v>
      </c>
      <c r="AA370" s="51">
        <f>'Incerteza Lambda'!AO18</f>
        <v>4.5265507600819923</v>
      </c>
      <c r="AB370" s="733">
        <f>AC231 -1</f>
        <v>5</v>
      </c>
      <c r="AC370" s="685">
        <f>'Incerteza Lambda'!AO16</f>
        <v>2.2134149743640186</v>
      </c>
      <c r="AD370" s="50">
        <v>643.5</v>
      </c>
      <c r="AE370" s="51">
        <v>72.495999999999995</v>
      </c>
      <c r="AF370" s="52">
        <f t="shared" si="226"/>
        <v>0.13968595516488946</v>
      </c>
    </row>
    <row r="371" spans="6:32" ht="15" customHeight="1">
      <c r="F371" s="579"/>
      <c r="G371" s="94">
        <v>0</v>
      </c>
      <c r="H371" s="94">
        <v>0</v>
      </c>
      <c r="I371" s="94">
        <v>0</v>
      </c>
      <c r="J371" s="94">
        <v>0</v>
      </c>
      <c r="K371" s="131">
        <v>0</v>
      </c>
      <c r="V371" s="671" t="s">
        <v>404</v>
      </c>
      <c r="W371" s="654">
        <f>VLOOKUP('Registro Tratado'!$AB$364,'Cadastro - Padrões Lambda'!$E$59:$Q$67, 8)</f>
        <v>418.68</v>
      </c>
      <c r="X371" s="51">
        <f xml:space="preserve"> (V190/(AC211^2) +V200/(AC221^2))/(1/(AC211^2) + 1/(AC221^2))</f>
        <v>418.74625548463774</v>
      </c>
      <c r="Y371" s="51">
        <f t="shared" si="248"/>
        <v>6.6255484637736117E-2</v>
      </c>
      <c r="Z371" s="740">
        <f xml:space="preserve"> 1/(1/(AC186^2) + 1/(AC196^2))</f>
        <v>5.1020407161999851E-3</v>
      </c>
      <c r="AA371" s="51">
        <f>'Incerteza Lambda'!AP18</f>
        <v>2</v>
      </c>
      <c r="AB371" s="733">
        <f>AC181 -1</f>
        <v>5</v>
      </c>
      <c r="AC371" s="685" t="str">
        <f>'Incerteza Lambda'!AP16</f>
        <v>∞</v>
      </c>
      <c r="AD371" s="50">
        <v>643.4</v>
      </c>
      <c r="AE371" s="51">
        <v>72.462999999999994</v>
      </c>
      <c r="AF371" s="52">
        <f t="shared" si="226"/>
        <v>0.13988368994714359</v>
      </c>
    </row>
    <row r="372" spans="6:32" ht="15" customHeight="1">
      <c r="F372" s="579"/>
      <c r="G372" s="94">
        <v>0</v>
      </c>
      <c r="H372" s="94">
        <v>0</v>
      </c>
      <c r="I372" s="94">
        <v>0</v>
      </c>
      <c r="J372" s="94">
        <v>0</v>
      </c>
      <c r="K372" s="131">
        <v>0</v>
      </c>
      <c r="V372" s="671" t="s">
        <v>405</v>
      </c>
      <c r="W372" s="654">
        <f>VLOOKUP('Registro Tratado'!$AB$364,'Cadastro - Padrões Lambda'!$E$59:$Q$67, 9)</f>
        <v>445.68</v>
      </c>
      <c r="X372" s="51">
        <f>(V165/(AC186^2) + V175/(AC196^2))/(1/(AC186^2) + 1/(AC196^2))</f>
        <v>447.00769723884832</v>
      </c>
      <c r="Y372" s="51">
        <f t="shared" si="248"/>
        <v>1.3276972388483159</v>
      </c>
      <c r="Z372" s="740">
        <f xml:space="preserve"> 1/(1/(AC161^2) + 1/(AC171^2))</f>
        <v>5.1020409490361201E-3</v>
      </c>
      <c r="AA372" s="51">
        <f>'Incerteza Lambda'!AQ18</f>
        <v>2</v>
      </c>
      <c r="AB372" s="733">
        <f>AC156 -1</f>
        <v>5</v>
      </c>
      <c r="AC372" s="685" t="str">
        <f>'Incerteza Lambda'!AQ16</f>
        <v>∞</v>
      </c>
      <c r="AD372" s="50">
        <v>643.29999999999995</v>
      </c>
      <c r="AE372" s="51">
        <v>72.403999999999996</v>
      </c>
      <c r="AF372" s="52">
        <f t="shared" si="226"/>
        <v>0.14023744029538016</v>
      </c>
    </row>
    <row r="373" spans="6:32" ht="15" customHeight="1" thickBot="1">
      <c r="F373" s="580"/>
      <c r="G373" s="132">
        <v>0</v>
      </c>
      <c r="H373" s="132">
        <v>0</v>
      </c>
      <c r="I373" s="132">
        <v>0</v>
      </c>
      <c r="J373" s="132">
        <v>0</v>
      </c>
      <c r="K373" s="133">
        <v>0</v>
      </c>
      <c r="V373" s="671" t="s">
        <v>406</v>
      </c>
      <c r="W373" s="654">
        <f>VLOOKUP('Registro Tratado'!$AB$364,'Cadastro - Padrões Lambda'!$E$59:$Q$67, 10)</f>
        <v>453.64</v>
      </c>
      <c r="X373" s="51">
        <f>(V140/(AC136^2) + V150/(AC146^2))/(1/(AC136^2) + 1/(AC146^2))</f>
        <v>453.81717574812626</v>
      </c>
      <c r="Y373" s="51">
        <f t="shared" si="248"/>
        <v>0.1771757481262739</v>
      </c>
      <c r="Z373" s="740">
        <f xml:space="preserve"> 1/(1/(AC136^2) + 1/(AC146^2))</f>
        <v>6.94444431480993E-3</v>
      </c>
      <c r="AA373" s="51">
        <f>'Incerteza Lambda'!AR18</f>
        <v>2</v>
      </c>
      <c r="AB373" s="733">
        <f>AC131 -1</f>
        <v>4</v>
      </c>
      <c r="AC373" s="685" t="str">
        <f>'Incerteza Lambda'!AR16</f>
        <v>∞</v>
      </c>
      <c r="AD373" s="50">
        <v>643.20000000000005</v>
      </c>
      <c r="AE373" s="51">
        <v>72.397999999999996</v>
      </c>
      <c r="AF373" s="52">
        <f t="shared" si="226"/>
        <v>0.14027343105369722</v>
      </c>
    </row>
    <row r="374" spans="6:32" ht="15" customHeight="1" thickBot="1">
      <c r="V374" s="671" t="s">
        <v>407</v>
      </c>
      <c r="W374" s="654">
        <f>VLOOKUP('Registro Tratado'!$AB$364,'Cadastro - Padrões Lambda'!$E$59:$Q$67, 11)</f>
        <v>460.18</v>
      </c>
      <c r="X374" s="51">
        <f>(V115/(AC111^2) + V125/(AC121^2))/(1/(AC111^2) + 1/(AC121^2))</f>
        <v>460.62101891253957</v>
      </c>
      <c r="Y374" s="51">
        <f t="shared" si="248"/>
        <v>0.44101891253956182</v>
      </c>
      <c r="Z374" s="740">
        <f xml:space="preserve"> 1/(1/(AC111^2) + 1/(AC121^2))</f>
        <v>6.9444444433882334E-3</v>
      </c>
      <c r="AA374" s="51">
        <f>'Incerteza Lambda'!AS18</f>
        <v>13.967811487502582</v>
      </c>
      <c r="AB374" s="733">
        <f>AC106 -1</f>
        <v>4</v>
      </c>
      <c r="AC374" s="685">
        <f>'Incerteza Lambda'!AS16</f>
        <v>1.6878522434109178</v>
      </c>
      <c r="AD374" s="50">
        <v>643.1</v>
      </c>
      <c r="AE374" s="51">
        <v>72.36</v>
      </c>
      <c r="AF374" s="52">
        <f t="shared" si="226"/>
        <v>0.14050144181222385</v>
      </c>
    </row>
    <row r="375" spans="6:32" ht="15.75" customHeight="1" thickBot="1">
      <c r="F375" s="581" t="s">
        <v>439</v>
      </c>
      <c r="G375" s="582"/>
      <c r="H375" s="582"/>
      <c r="I375" s="582"/>
      <c r="J375" s="582"/>
      <c r="K375" s="583"/>
      <c r="M375" s="581" t="s">
        <v>442</v>
      </c>
      <c r="N375" s="582"/>
      <c r="O375" s="582"/>
      <c r="P375" s="582"/>
      <c r="Q375" s="582"/>
      <c r="R375" s="583"/>
      <c r="V375" s="671" t="s">
        <v>408</v>
      </c>
      <c r="W375" s="654">
        <f>VLOOKUP('Registro Tratado'!$AB$364,'Cadastro - Padrões Lambda'!$E$59:$Q$67, 12)</f>
        <v>536.6</v>
      </c>
      <c r="X375" s="51">
        <f>(V90/(AC86^2) + V100/(AC96^2))/(1/(AC86^2) + 1/(AC96^2))</f>
        <v>537.36992007718197</v>
      </c>
      <c r="Y375" s="51">
        <f t="shared" si="248"/>
        <v>0.76992007718195055</v>
      </c>
      <c r="Z375" s="740">
        <f xml:space="preserve"> 1/(1/(AC86^2) + 1/(AC96^2))</f>
        <v>5.0994528312919485E-3</v>
      </c>
      <c r="AA375" s="51">
        <f>'Incerteza Lambda'!AT18</f>
        <v>4.5265507600819923</v>
      </c>
      <c r="AB375" s="733">
        <f>AC81 -1</f>
        <v>5</v>
      </c>
      <c r="AC375" s="685">
        <f>'Incerteza Lambda'!AT16</f>
        <v>2.8377331989151453</v>
      </c>
      <c r="AD375" s="50">
        <v>643</v>
      </c>
      <c r="AE375" s="51">
        <v>72.254999999999995</v>
      </c>
      <c r="AF375" s="52">
        <f t="shared" si="226"/>
        <v>0.14113209462988477</v>
      </c>
    </row>
    <row r="376" spans="6:32" ht="15" customHeight="1">
      <c r="F376" s="87" t="s">
        <v>84</v>
      </c>
      <c r="G376" s="88">
        <v>440</v>
      </c>
      <c r="H376" s="88">
        <v>465</v>
      </c>
      <c r="I376" s="88">
        <v>546.1</v>
      </c>
      <c r="J376" s="88">
        <v>590</v>
      </c>
      <c r="K376" s="89">
        <v>635</v>
      </c>
      <c r="M376" s="87" t="s">
        <v>84</v>
      </c>
      <c r="N376" s="88">
        <v>440</v>
      </c>
      <c r="O376" s="88">
        <v>465</v>
      </c>
      <c r="P376" s="88">
        <v>546.1</v>
      </c>
      <c r="Q376" s="88">
        <v>590</v>
      </c>
      <c r="R376" s="89">
        <v>635</v>
      </c>
      <c r="V376" s="671" t="s">
        <v>409</v>
      </c>
      <c r="W376" s="654">
        <f>VLOOKUP('Registro Tratado'!$AB$364,'Cadastro - Padrões Lambda'!$E$59:$Q$67, 13)</f>
        <v>637.51</v>
      </c>
      <c r="X376" s="51">
        <f>(V65/(AC61^2) + V75/(AC71^2))/(1/(AC61^2) + 1/(AC71^2))</f>
        <v>638.50935065158933</v>
      </c>
      <c r="Y376" s="51">
        <f t="shared" si="248"/>
        <v>0.99935065158933867</v>
      </c>
      <c r="Z376" s="740">
        <f xml:space="preserve"> 1/(1/(AC61^2) + 1/(AC71^2))</f>
        <v>5.1020425390476947E-3</v>
      </c>
      <c r="AA376" s="51">
        <f>'Incerteza Lambda'!AU18</f>
        <v>2.0086001480715878</v>
      </c>
      <c r="AB376" s="733">
        <f>AC56 -1</f>
        <v>5</v>
      </c>
      <c r="AC376" s="685">
        <f>'Incerteza Lambda'!AU16</f>
        <v>292.23521249894446</v>
      </c>
      <c r="AD376" s="50">
        <v>642.9</v>
      </c>
      <c r="AE376" s="51">
        <v>72.126000000000005</v>
      </c>
      <c r="AF376" s="52">
        <f t="shared" si="226"/>
        <v>0.14190815246399413</v>
      </c>
    </row>
    <row r="377" spans="6:32" ht="15.75" thickBot="1">
      <c r="F377" s="90" t="s">
        <v>86</v>
      </c>
      <c r="G377" s="91">
        <f xml:space="preserve"> IF($H$44 &lt; 5, VLOOKUP($F$378,'Cadastro - Padrões Absorbância'!$D$7:$K$9,4,FALSE), IF($H$44 = 5, VLOOKUP($F$378,'Cadastro - Padrões Absorbância'!$D$10:$K$12, 4,FALSE)))</f>
        <v>0.55200000000000005</v>
      </c>
      <c r="H377" s="91">
        <f xml:space="preserve"> IF($H$44 &lt; 5, VLOOKUP($F$378,'Cadastro - Padrões Absorbância'!$D$7:$K$9,5,FALSE), IF($H$44 = 5, VLOOKUP($F$378,'Cadastro - Padrões Absorbância'!$D$10:$K$12, 5,FALSE)))</f>
        <v>0.51339999999999997</v>
      </c>
      <c r="I377" s="91">
        <f xml:space="preserve"> IF($H$44 &lt; 5, VLOOKUP($F$378,'Cadastro - Padrões Absorbância'!$D$7:$K$9,6,FALSE), IF($H$44 = 5, VLOOKUP($F$378,'Cadastro - Padrões Absorbância'!$D$10:$K$12, 6,FALSE)))</f>
        <v>0.51170000000000004</v>
      </c>
      <c r="J377" s="91">
        <f xml:space="preserve"> IF($H$44 &lt; 5, VLOOKUP($F$378,'Cadastro - Padrões Absorbância'!$D$7:$K$9,7,FALSE), IF($H$44 = 5, VLOOKUP($F$378,'Cadastro - Padrões Absorbância'!$D$10:$K$12, 7,FALSE)))</f>
        <v>0.54500000000000004</v>
      </c>
      <c r="K377" s="92">
        <f xml:space="preserve"> IF($H$44 &lt; 5, VLOOKUP($F$378,'Cadastro - Padrões Absorbância'!$D$7:$K$9,8,FALSE), IF($H$44 = 5, VLOOKUP($F$378,'Cadastro - Padrões Absorbância'!$D$10:$K$12, 8,FALSE)))</f>
        <v>0.55230000000000001</v>
      </c>
      <c r="M377" s="90" t="s">
        <v>86</v>
      </c>
      <c r="N377" s="91">
        <f>G377</f>
        <v>0.55200000000000005</v>
      </c>
      <c r="O377" s="91">
        <f>H377</f>
        <v>0.51339999999999997</v>
      </c>
      <c r="P377" s="91">
        <f>I377</f>
        <v>0.51170000000000004</v>
      </c>
      <c r="Q377" s="91">
        <f>J377</f>
        <v>0.54500000000000004</v>
      </c>
      <c r="R377" s="92">
        <f>K377</f>
        <v>0.55230000000000001</v>
      </c>
      <c r="AD377" s="50">
        <v>642.79999999999995</v>
      </c>
      <c r="AE377" s="51">
        <v>72.040999999999997</v>
      </c>
      <c r="AF377" s="52">
        <f t="shared" si="226"/>
        <v>0.14242026737571817</v>
      </c>
    </row>
    <row r="378" spans="6:32" ht="15" customHeight="1">
      <c r="F378" s="719" t="s">
        <v>69</v>
      </c>
      <c r="G378" s="124">
        <v>0.55600000000000005</v>
      </c>
      <c r="H378" s="124">
        <v>0.52100000000000002</v>
      </c>
      <c r="I378" s="124">
        <v>0.51200000000000001</v>
      </c>
      <c r="J378" s="124">
        <v>0.54500000000000004</v>
      </c>
      <c r="K378" s="130">
        <v>0.55600000000000005</v>
      </c>
      <c r="M378" s="262" t="s">
        <v>100</v>
      </c>
      <c r="N378" s="134">
        <f>IF(ISNUMBER(G378),COUNTA(G378:G378,G379:G379,G380:G380,G381:G381),"")</f>
        <v>4</v>
      </c>
      <c r="O378" s="134">
        <f>IF(ISNUMBER(H378),COUNTA(H378:H378,H379:H379,H380:H380,H381:H381),"")</f>
        <v>4</v>
      </c>
      <c r="P378" s="134">
        <f>IF(ISNUMBER(I378),COUNTA(I378:I378,I379:I379,I380:I380,I381:I381),"")</f>
        <v>4</v>
      </c>
      <c r="Q378" s="134">
        <f>IF(ISNUMBER(J378),COUNTA(J378:J378,J379:J379,J380:J380,J381:J381),"")</f>
        <v>4</v>
      </c>
      <c r="R378" s="135">
        <f>IF(ISNUMBER(K378),COUNTA(K378:K378,K379:K379,K380:K380,K381:K381),"")</f>
        <v>4</v>
      </c>
      <c r="W378" s="741"/>
      <c r="AD378" s="50">
        <v>642.70000000000005</v>
      </c>
      <c r="AE378" s="51">
        <v>71.923000000000002</v>
      </c>
      <c r="AF378" s="52">
        <f t="shared" si="226"/>
        <v>0.14313220592064427</v>
      </c>
    </row>
    <row r="379" spans="6:32" ht="15" customHeight="1">
      <c r="F379" s="579"/>
      <c r="G379" s="94">
        <v>0.55500000000000005</v>
      </c>
      <c r="H379" s="94">
        <v>0.52100000000000002</v>
      </c>
      <c r="I379" s="94">
        <v>0.51200000000000001</v>
      </c>
      <c r="J379" s="94">
        <v>0.54600000000000004</v>
      </c>
      <c r="K379" s="131">
        <v>0.55300000000000005</v>
      </c>
      <c r="M379" s="263" t="s">
        <v>97</v>
      </c>
      <c r="N379" s="136">
        <f>IF(ISNUMBER(G378),AVERAGE(G378:G381),"")</f>
        <v>0.55490000000000006</v>
      </c>
      <c r="O379" s="136">
        <f>IF(ISNUMBER(H378),AVERAGE(H378:H381),"")</f>
        <v>0.52166666666666661</v>
      </c>
      <c r="P379" s="136">
        <f>IF(ISNUMBER(I378),AVERAGE(I378:I381),"")</f>
        <v>0.51249999999999996</v>
      </c>
      <c r="Q379" s="136">
        <f>IF(ISNUMBER(J378),AVERAGE(J378:J381),"")</f>
        <v>0.54425000000000012</v>
      </c>
      <c r="R379" s="137">
        <f>IF(ISNUMBER(K378),AVERAGE(K378:K381),"")</f>
        <v>0.55374999999999996</v>
      </c>
      <c r="AD379" s="50">
        <v>642.6</v>
      </c>
      <c r="AE379" s="51">
        <v>71.796999999999997</v>
      </c>
      <c r="AF379" s="52">
        <f t="shared" si="226"/>
        <v>0.14389370214579827</v>
      </c>
    </row>
    <row r="380" spans="6:32">
      <c r="F380" s="579"/>
      <c r="G380" s="94">
        <v>0.55559999999999998</v>
      </c>
      <c r="H380" s="94">
        <v>0.52300000000000002</v>
      </c>
      <c r="I380" s="94">
        <v>0.51300000000000001</v>
      </c>
      <c r="J380" s="94">
        <v>0.54200000000000004</v>
      </c>
      <c r="K380" s="131">
        <v>0.55200000000000005</v>
      </c>
      <c r="M380" s="264" t="s">
        <v>174</v>
      </c>
      <c r="N380" s="138">
        <f>IF(ISNUMBER(G383),AVERAGE(G383:G386),"")</f>
        <v>0</v>
      </c>
      <c r="O380" s="138">
        <f>IF(ISNUMBER(H383),AVERAGE(H383:H386),"")</f>
        <v>0</v>
      </c>
      <c r="P380" s="138">
        <f>IF(ISNUMBER(I383),AVERAGE(I383:I386),"")</f>
        <v>0</v>
      </c>
      <c r="Q380" s="138">
        <f>IF(ISNUMBER(J383),AVERAGE(J383:J386),"")</f>
        <v>0</v>
      </c>
      <c r="R380" s="139">
        <f>IF(ISNUMBER(K383),AVERAGE(K383:K386),"")</f>
        <v>0</v>
      </c>
      <c r="AD380" s="50">
        <v>642.5</v>
      </c>
      <c r="AE380" s="51">
        <v>71.697999999999993</v>
      </c>
      <c r="AF380" s="52">
        <f t="shared" si="226"/>
        <v>0.14449295871264961</v>
      </c>
    </row>
    <row r="381" spans="6:32" ht="15.75" thickBot="1">
      <c r="F381" s="579"/>
      <c r="G381" s="132">
        <v>0.55300000000000005</v>
      </c>
      <c r="H381" s="132" t="s">
        <v>353</v>
      </c>
      <c r="I381" s="132">
        <v>0.51300000000000001</v>
      </c>
      <c r="J381" s="132">
        <v>0.54400000000000004</v>
      </c>
      <c r="K381" s="133">
        <v>0.55400000000000005</v>
      </c>
      <c r="M381" s="264" t="s">
        <v>98</v>
      </c>
      <c r="N381" s="138">
        <f>IF(ISNUMBER(N380),IF(ISNUMBER(N379),N379-N380,""),"")</f>
        <v>0.55490000000000006</v>
      </c>
      <c r="O381" s="138">
        <f t="shared" ref="O381:R381" si="249">IF(ISNUMBER(O380),IF(ISNUMBER(O379),O379-O380,""),"")</f>
        <v>0.52166666666666661</v>
      </c>
      <c r="P381" s="138">
        <f t="shared" si="249"/>
        <v>0.51249999999999996</v>
      </c>
      <c r="Q381" s="138">
        <f t="shared" si="249"/>
        <v>0.54425000000000012</v>
      </c>
      <c r="R381" s="139">
        <f t="shared" si="249"/>
        <v>0.55374999999999996</v>
      </c>
      <c r="AD381" s="50">
        <v>642.4</v>
      </c>
      <c r="AE381" s="51">
        <v>71.613</v>
      </c>
      <c r="AF381" s="52">
        <f t="shared" si="226"/>
        <v>0.14500813249959557</v>
      </c>
    </row>
    <row r="382" spans="6:32" ht="16.5" thickBot="1">
      <c r="F382" s="579"/>
      <c r="G382" s="584" t="s">
        <v>171</v>
      </c>
      <c r="H382" s="582"/>
      <c r="I382" s="582"/>
      <c r="J382" s="582"/>
      <c r="K382" s="583"/>
      <c r="M382" s="263" t="s">
        <v>99</v>
      </c>
      <c r="N382" s="138">
        <f xml:space="preserve"> IF(ISNUMBER(N381),N381 - N377,"")</f>
        <v>2.9000000000000137E-3</v>
      </c>
      <c r="O382" s="138">
        <f xml:space="preserve"> IF(ISNUMBER(O381),O381 - O377,"")</f>
        <v>8.2666666666666444E-3</v>
      </c>
      <c r="P382" s="138">
        <f xml:space="preserve"> IF(ISNUMBER(P381),P381 - P377,"")</f>
        <v>7.9999999999991189E-4</v>
      </c>
      <c r="Q382" s="138">
        <f xml:space="preserve"> IF(ISNUMBER(Q381),Q381 - Q377,"")</f>
        <v>-7.499999999999174E-4</v>
      </c>
      <c r="R382" s="139">
        <f xml:space="preserve"> IF(ISNUMBER(R381),R381 - R377,"")</f>
        <v>1.4499999999999513E-3</v>
      </c>
      <c r="AD382" s="50">
        <v>642.29999999999995</v>
      </c>
      <c r="AE382" s="51">
        <v>71.492000000000004</v>
      </c>
      <c r="AF382" s="52">
        <f t="shared" si="226"/>
        <v>0.14574255330716113</v>
      </c>
    </row>
    <row r="383" spans="6:32" ht="15.75" thickBot="1">
      <c r="F383" s="579"/>
      <c r="G383" s="124">
        <v>0</v>
      </c>
      <c r="H383" s="124">
        <v>0</v>
      </c>
      <c r="I383" s="124">
        <v>0</v>
      </c>
      <c r="J383" s="124">
        <v>0</v>
      </c>
      <c r="K383" s="130">
        <v>0</v>
      </c>
      <c r="M383" s="265" t="s">
        <v>101</v>
      </c>
      <c r="N383" s="140">
        <f>IF(ISNUMBER(N381),SQRT(DEVSQ(G378:G381)/(N378-1))/SQRT(N378),"")</f>
        <v>6.6583281184793403E-4</v>
      </c>
      <c r="O383" s="140">
        <f>IF(ISNUMBER(O381),SQRT(DEVSQ(H378:H381)/(O378-1))/SQRT(O378),"")</f>
        <v>4.7140452079103207E-4</v>
      </c>
      <c r="P383" s="140">
        <f>IF(ISNUMBER(P381),SQRT(DEVSQ(I378:I381)/(P378-1))/SQRT(P378),"")</f>
        <v>2.8867513459481317E-4</v>
      </c>
      <c r="Q383" s="140">
        <f>IF(ISNUMBER(Q381),SQRT(DEVSQ(J378:J381)/(Q378-1))/SQRT(Q378),"")</f>
        <v>8.5391256382996727E-4</v>
      </c>
      <c r="R383" s="261">
        <f>IF(ISNUMBER(R381),SQRT(DEVSQ(K378:K381)/(R378-1))/SQRT(R378),"")</f>
        <v>8.5391256382996727E-4</v>
      </c>
      <c r="AD383" s="50">
        <v>642.20000000000005</v>
      </c>
      <c r="AE383" s="51">
        <v>71.322000000000003</v>
      </c>
      <c r="AF383" s="52">
        <f t="shared" si="226"/>
        <v>0.14677648691023767</v>
      </c>
    </row>
    <row r="384" spans="6:32">
      <c r="F384" s="579"/>
      <c r="G384" s="94">
        <v>0</v>
      </c>
      <c r="H384" s="94">
        <v>0</v>
      </c>
      <c r="I384" s="94">
        <v>0</v>
      </c>
      <c r="J384" s="94">
        <v>0</v>
      </c>
      <c r="K384" s="131">
        <v>0</v>
      </c>
      <c r="AD384" s="50">
        <v>642.1</v>
      </c>
      <c r="AE384" s="51">
        <v>71.177999999999997</v>
      </c>
      <c r="AF384" s="52">
        <f t="shared" si="226"/>
        <v>0.147654219214538</v>
      </c>
    </row>
    <row r="385" spans="3:32">
      <c r="F385" s="579"/>
      <c r="G385" s="94">
        <v>0</v>
      </c>
      <c r="H385" s="94">
        <v>0</v>
      </c>
      <c r="I385" s="94">
        <v>0</v>
      </c>
      <c r="J385" s="94">
        <v>0</v>
      </c>
      <c r="K385" s="131">
        <v>0</v>
      </c>
      <c r="AD385" s="50">
        <v>642</v>
      </c>
      <c r="AE385" s="51">
        <v>71.007000000000005</v>
      </c>
      <c r="AF385" s="52">
        <f t="shared" si="226"/>
        <v>0.14869883562569941</v>
      </c>
    </row>
    <row r="386" spans="3:32" ht="15.75" thickBot="1">
      <c r="F386" s="580"/>
      <c r="G386" s="132">
        <v>0</v>
      </c>
      <c r="H386" s="132">
        <v>0</v>
      </c>
      <c r="I386" s="132">
        <v>0</v>
      </c>
      <c r="J386" s="132">
        <v>0</v>
      </c>
      <c r="K386" s="133">
        <v>0</v>
      </c>
      <c r="AD386" s="50">
        <v>641.9</v>
      </c>
      <c r="AE386" s="51">
        <v>70.805999999999997</v>
      </c>
      <c r="AF386" s="52">
        <f t="shared" si="226"/>
        <v>0.1499299392525501</v>
      </c>
    </row>
    <row r="387" spans="3:32" ht="15.75" thickBot="1">
      <c r="AD387" s="50">
        <v>641.79999999999995</v>
      </c>
      <c r="AE387" s="51">
        <v>70.632000000000005</v>
      </c>
      <c r="AF387" s="52">
        <f t="shared" si="226"/>
        <v>0.150998496188783</v>
      </c>
    </row>
    <row r="388" spans="3:32" ht="16.5" thickBot="1">
      <c r="F388" s="581" t="s">
        <v>440</v>
      </c>
      <c r="G388" s="582"/>
      <c r="H388" s="582"/>
      <c r="I388" s="582"/>
      <c r="J388" s="582"/>
      <c r="K388" s="583"/>
      <c r="M388" s="581" t="s">
        <v>443</v>
      </c>
      <c r="N388" s="582"/>
      <c r="O388" s="582"/>
      <c r="P388" s="582"/>
      <c r="Q388" s="582"/>
      <c r="R388" s="583"/>
      <c r="AD388" s="50">
        <v>641.70000000000005</v>
      </c>
      <c r="AE388" s="51">
        <v>70.397000000000006</v>
      </c>
      <c r="AF388" s="52">
        <f t="shared" si="226"/>
        <v>0.15244584811934794</v>
      </c>
    </row>
    <row r="389" spans="3:32">
      <c r="F389" s="87" t="s">
        <v>84</v>
      </c>
      <c r="G389" s="88">
        <v>440</v>
      </c>
      <c r="H389" s="88">
        <v>465</v>
      </c>
      <c r="I389" s="88">
        <v>546.1</v>
      </c>
      <c r="J389" s="88">
        <v>590</v>
      </c>
      <c r="K389" s="89">
        <v>635</v>
      </c>
      <c r="M389" s="87" t="s">
        <v>84</v>
      </c>
      <c r="N389" s="88">
        <v>440</v>
      </c>
      <c r="O389" s="88">
        <v>465</v>
      </c>
      <c r="P389" s="88">
        <v>546.1</v>
      </c>
      <c r="Q389" s="88">
        <v>590</v>
      </c>
      <c r="R389" s="89">
        <v>635</v>
      </c>
      <c r="AD389" s="50">
        <v>641.6</v>
      </c>
      <c r="AE389" s="51">
        <v>70.188000000000002</v>
      </c>
      <c r="AF389" s="52">
        <f t="shared" ref="AF389:AF452" si="250">-LOG(AE389/100)</f>
        <v>0.15373713258905286</v>
      </c>
    </row>
    <row r="390" spans="3:32" ht="15.75" thickBot="1">
      <c r="F390" s="90" t="s">
        <v>86</v>
      </c>
      <c r="G390" s="91">
        <f xml:space="preserve"> IF($H$44 &lt; 5, VLOOKUP($F$391,'Cadastro - Padrões Absorbância'!$D$7:$K$9,4,FALSE), IF($H$44 = 5, VLOOKUP($F$391,'Cadastro - Padrões Absorbância'!$D$10:$K$12, 4,FALSE)))</f>
        <v>1.0061</v>
      </c>
      <c r="H390" s="91">
        <f xml:space="preserve"> IF($H$44 &lt; 5, VLOOKUP($F$391,'Cadastro - Padrões Absorbância'!$D$7:$K$9,5,FALSE), IF($H$44 = 5, VLOOKUP($F$391,'Cadastro - Padrões Absorbância'!$D$10:$K$12, 5,FALSE)))</f>
        <v>0.95569999999999999</v>
      </c>
      <c r="I390" s="91">
        <f xml:space="preserve"> IF($H$44 &lt; 5, VLOOKUP($F$391,'Cadastro - Padrões Absorbância'!$D$7:$K$9,6,FALSE), IF($H$44 = 5, VLOOKUP($F$391,'Cadastro - Padrões Absorbância'!$D$10:$K$12, 6,FALSE)))</f>
        <v>1.0014000000000001</v>
      </c>
      <c r="J390" s="91">
        <f xml:space="preserve"> IF($H$44 &lt; 5, VLOOKUP($F$391,'Cadastro - Padrões Absorbância'!$D$7:$K$9,7,FALSE), IF($H$44 = 5, VLOOKUP($F$391,'Cadastro - Padrões Absorbância'!$D$10:$K$12, 7,FALSE)))</f>
        <v>1.0978000000000001</v>
      </c>
      <c r="K390" s="92">
        <f xml:space="preserve"> IF($H$44 &lt; 5, VLOOKUP($F$391,'Cadastro - Padrões Absorbância'!$D$7:$K$9,8,FALSE), IF($H$44 = 5, VLOOKUP($F$391,'Cadastro - Padrões Absorbância'!$D$10:$K$12, 8,FALSE)))</f>
        <v>1.0900000000000001</v>
      </c>
      <c r="M390" s="90" t="s">
        <v>86</v>
      </c>
      <c r="N390" s="91">
        <f>G390</f>
        <v>1.0061</v>
      </c>
      <c r="O390" s="91">
        <f>H390</f>
        <v>0.95569999999999999</v>
      </c>
      <c r="P390" s="91">
        <f>I390</f>
        <v>1.0014000000000001</v>
      </c>
      <c r="Q390" s="91">
        <f>J390</f>
        <v>1.0978000000000001</v>
      </c>
      <c r="R390" s="92">
        <f>K390</f>
        <v>1.0900000000000001</v>
      </c>
      <c r="AD390" s="50">
        <v>641.5</v>
      </c>
      <c r="AE390" s="51">
        <v>69.965999999999994</v>
      </c>
      <c r="AF390" s="52">
        <f t="shared" si="250"/>
        <v>0.15511295426542754</v>
      </c>
    </row>
    <row r="391" spans="3:32">
      <c r="F391" s="719" t="s">
        <v>68</v>
      </c>
      <c r="G391" s="123">
        <v>1.008</v>
      </c>
      <c r="H391" s="124">
        <v>0.96199999999999997</v>
      </c>
      <c r="I391" s="123">
        <v>0.999</v>
      </c>
      <c r="J391" s="124">
        <v>1.0900000000000001</v>
      </c>
      <c r="K391" s="125">
        <v>1.087</v>
      </c>
      <c r="M391" s="262" t="s">
        <v>100</v>
      </c>
      <c r="N391" s="134">
        <f>IF(ISNUMBER(G391),COUNTA(G391:G391,G392:G392,G393:G393,G394:G394),"")</f>
        <v>4</v>
      </c>
      <c r="O391" s="134">
        <f>IF(ISNUMBER(H391),COUNTA(H391:H391,H392:H392,H393:H393,H394:H394),"")</f>
        <v>4</v>
      </c>
      <c r="P391" s="134">
        <f>IF(ISNUMBER(I391),COUNTA(I391:I391,I392:I392,I393:I393,I394:I394),"")</f>
        <v>4</v>
      </c>
      <c r="Q391" s="134">
        <f>IF(ISNUMBER(J391),COUNTA(J391:J391,J392:J392,J393:J393,J394:J394),"")</f>
        <v>4</v>
      </c>
      <c r="R391" s="135">
        <f>IF(ISNUMBER(K391),COUNTA(K391:K391,K392:K392,K393:K393,K394:K394),"")</f>
        <v>4</v>
      </c>
      <c r="AD391" s="50">
        <v>641.4</v>
      </c>
      <c r="AE391" s="51">
        <v>69.742000000000004</v>
      </c>
      <c r="AF391" s="52">
        <f t="shared" si="250"/>
        <v>0.15650560246463974</v>
      </c>
    </row>
    <row r="392" spans="3:32" ht="15" customHeight="1">
      <c r="F392" s="579"/>
      <c r="G392" s="33">
        <v>1.0089999999999999</v>
      </c>
      <c r="H392" s="33">
        <v>0.96399999999999997</v>
      </c>
      <c r="I392" s="94">
        <v>0.999</v>
      </c>
      <c r="J392" s="33">
        <v>1.089</v>
      </c>
      <c r="K392" s="126">
        <v>1.0880000000000001</v>
      </c>
      <c r="M392" s="263" t="s">
        <v>97</v>
      </c>
      <c r="N392" s="136">
        <f>IF(ISNUMBER(G391),AVERAGE(G391:G394),"")</f>
        <v>1.00875</v>
      </c>
      <c r="O392" s="136">
        <f>IF(ISNUMBER(H391),AVERAGE(H391:H394),"")</f>
        <v>0.96349999999999991</v>
      </c>
      <c r="P392" s="136">
        <f>IF(ISNUMBER(I391),AVERAGE(I391:I394),"")</f>
        <v>0.99975000000000003</v>
      </c>
      <c r="Q392" s="136">
        <f>IF(ISNUMBER(J391),AVERAGE(J391:J394),"")</f>
        <v>1.0900000000000001</v>
      </c>
      <c r="R392" s="137">
        <f>IF(ISNUMBER(K391),AVERAGE(K391:K394),"")</f>
        <v>1.087</v>
      </c>
      <c r="AD392" s="50">
        <v>641.29999999999995</v>
      </c>
      <c r="AE392" s="51">
        <v>69.486999999999995</v>
      </c>
      <c r="AF392" s="52">
        <f t="shared" si="250"/>
        <v>0.15809643794740699</v>
      </c>
    </row>
    <row r="393" spans="3:32">
      <c r="F393" s="579"/>
      <c r="G393" s="33">
        <v>1.0089999999999999</v>
      </c>
      <c r="H393" s="33">
        <v>0.96399999999999997</v>
      </c>
      <c r="I393" s="94">
        <v>1</v>
      </c>
      <c r="J393" s="33">
        <v>1.0920000000000001</v>
      </c>
      <c r="K393" s="126">
        <v>1.0860000000000001</v>
      </c>
      <c r="M393" s="264" t="s">
        <v>174</v>
      </c>
      <c r="N393" s="138">
        <f>IF(ISNUMBER(G396),AVERAGE(G396:G399),"")</f>
        <v>0</v>
      </c>
      <c r="O393" s="138">
        <f>IF(ISNUMBER(H396),AVERAGE(H396:H399),"")</f>
        <v>0</v>
      </c>
      <c r="P393" s="138">
        <f>IF(ISNUMBER(I396),AVERAGE(I396:I399),"")</f>
        <v>0</v>
      </c>
      <c r="Q393" s="138">
        <f>IF(ISNUMBER(J396),AVERAGE(J396:J399),"")</f>
        <v>0</v>
      </c>
      <c r="R393" s="139">
        <f>IF(ISNUMBER(K396),AVERAGE(K396:K399),"")</f>
        <v>0</v>
      </c>
      <c r="AD393" s="50">
        <v>641.20000000000005</v>
      </c>
      <c r="AE393" s="51">
        <v>69.225999999999999</v>
      </c>
      <c r="AF393" s="52">
        <f t="shared" si="250"/>
        <v>0.15973076196237923</v>
      </c>
    </row>
    <row r="394" spans="3:32" ht="15.75" thickBot="1">
      <c r="C394" t="s">
        <v>216</v>
      </c>
      <c r="D394">
        <v>24.85</v>
      </c>
      <c r="F394" s="579"/>
      <c r="G394" s="127">
        <v>1.0089999999999999</v>
      </c>
      <c r="H394" s="127">
        <v>0.96399999999999997</v>
      </c>
      <c r="I394" s="127">
        <v>1.0009999999999999</v>
      </c>
      <c r="J394" s="127">
        <v>1.089</v>
      </c>
      <c r="K394" s="128">
        <v>1.087</v>
      </c>
      <c r="M394" s="264" t="s">
        <v>98</v>
      </c>
      <c r="N394" s="138">
        <f>IF(ISNUMBER(N393),IF(ISNUMBER(N392),N392-N393,""),"")</f>
        <v>1.00875</v>
      </c>
      <c r="O394" s="138">
        <f>IF(ISNUMBER(O393),IF(ISNUMBER(O392),O392-O393,""))</f>
        <v>0.96349999999999991</v>
      </c>
      <c r="P394" s="138">
        <f>IF(ISNUMBER(P393),IF(ISNUMBER(P392),P392-P393,""))</f>
        <v>0.99975000000000003</v>
      </c>
      <c r="Q394" s="138">
        <f>IF(ISNUMBER(Q393),IF(ISNUMBER(Q392),Q392-Q393,""))</f>
        <v>1.0900000000000001</v>
      </c>
      <c r="R394" s="139">
        <f>IF(ISNUMBER(R393),IF(ISNUMBER(R392),R392-R393,""))</f>
        <v>1.087</v>
      </c>
      <c r="AD394" s="50">
        <v>641.1</v>
      </c>
      <c r="AE394" s="51">
        <v>69.004999999999995</v>
      </c>
      <c r="AF394" s="52">
        <f t="shared" si="250"/>
        <v>0.16111943978829862</v>
      </c>
    </row>
    <row r="395" spans="3:32" ht="16.5" thickBot="1">
      <c r="F395" s="579"/>
      <c r="G395" s="584" t="s">
        <v>171</v>
      </c>
      <c r="H395" s="582"/>
      <c r="I395" s="582"/>
      <c r="J395" s="582"/>
      <c r="K395" s="583"/>
      <c r="M395" s="263" t="s">
        <v>99</v>
      </c>
      <c r="N395" s="138">
        <f xml:space="preserve"> IF(ISNUMBER(N394),N394 - N390,"")</f>
        <v>2.6500000000000412E-3</v>
      </c>
      <c r="O395" s="138">
        <f xml:space="preserve"> IF(ISNUMBER(O394),O394 - O390,"")</f>
        <v>7.7999999999999181E-3</v>
      </c>
      <c r="P395" s="138">
        <f xml:space="preserve"> IF(ISNUMBER(P394),P394 - P390,"")</f>
        <v>-1.6500000000000403E-3</v>
      </c>
      <c r="Q395" s="138">
        <f xml:space="preserve"> IF(ISNUMBER(Q394),Q394 - Q390,"")</f>
        <v>-7.8000000000000291E-3</v>
      </c>
      <c r="R395" s="139">
        <f xml:space="preserve"> IF(ISNUMBER(R394),R394 - R390,"")</f>
        <v>-3.0000000000001137E-3</v>
      </c>
      <c r="AD395" s="50">
        <v>641</v>
      </c>
      <c r="AE395" s="51">
        <v>68.751999999999995</v>
      </c>
      <c r="AF395" s="52">
        <f t="shared" si="250"/>
        <v>0.16271466366017209</v>
      </c>
    </row>
    <row r="396" spans="3:32" ht="15.75" thickBot="1">
      <c r="F396" s="579"/>
      <c r="G396" s="124">
        <v>0</v>
      </c>
      <c r="H396" s="124">
        <v>0</v>
      </c>
      <c r="I396" s="124">
        <v>0</v>
      </c>
      <c r="J396" s="124">
        <v>0</v>
      </c>
      <c r="K396" s="130">
        <v>0</v>
      </c>
      <c r="M396" s="265" t="s">
        <v>101</v>
      </c>
      <c r="N396" s="140">
        <f>IF(ISNUMBER(N394),SQRT(DEVSQ(G391:G394)/(N391-1))/SQRT(N391),"")</f>
        <v>2.4999999999997247E-4</v>
      </c>
      <c r="O396" s="140">
        <f>IF(ISNUMBER(O394),SQRT(DEVSQ(H391:H394)/(O391-1))/SQRT(O391),"")</f>
        <v>5.0000000000000044E-4</v>
      </c>
      <c r="P396" s="140">
        <f>IF(ISNUMBER(P394),SQRT(DEVSQ(I391:I394)/(P391-1))/SQRT(P391),"")</f>
        <v>4.787135538781453E-4</v>
      </c>
      <c r="Q396" s="140">
        <f>IF(ISNUMBER(Q394),SQRT(DEVSQ(J391:J394)/(Q391-1))/SQRT(Q391),"")</f>
        <v>7.071067811865744E-4</v>
      </c>
      <c r="R396" s="261">
        <f>IF(ISNUMBER(R394),SQRT(DEVSQ(K391:K394)/(R391-1))/SQRT(R391),"")</f>
        <v>4.0824829046386341E-4</v>
      </c>
      <c r="AD396" s="50">
        <v>640.9</v>
      </c>
      <c r="AE396" s="51">
        <v>68.468000000000004</v>
      </c>
      <c r="AF396" s="52">
        <f t="shared" si="250"/>
        <v>0.1645123580045921</v>
      </c>
    </row>
    <row r="397" spans="3:32">
      <c r="F397" s="579"/>
      <c r="G397" s="94">
        <v>0</v>
      </c>
      <c r="H397" s="94">
        <v>0</v>
      </c>
      <c r="I397" s="94">
        <v>0</v>
      </c>
      <c r="J397" s="94">
        <v>0</v>
      </c>
      <c r="K397" s="131">
        <v>0</v>
      </c>
      <c r="AD397" s="50">
        <v>640.79999999999995</v>
      </c>
      <c r="AE397" s="51">
        <v>68.165000000000006</v>
      </c>
      <c r="AF397" s="52">
        <f t="shared" si="250"/>
        <v>0.16643856095310405</v>
      </c>
    </row>
    <row r="398" spans="3:32">
      <c r="F398" s="579"/>
      <c r="G398" s="94">
        <v>0</v>
      </c>
      <c r="H398" s="94">
        <v>0</v>
      </c>
      <c r="I398" s="94">
        <v>0</v>
      </c>
      <c r="J398" s="94">
        <v>0</v>
      </c>
      <c r="K398" s="131">
        <v>0</v>
      </c>
      <c r="AD398" s="50">
        <v>640.70000000000005</v>
      </c>
      <c r="AE398" s="51">
        <v>67.831999999999994</v>
      </c>
      <c r="AF398" s="52">
        <f t="shared" si="250"/>
        <v>0.16856537774319436</v>
      </c>
    </row>
    <row r="399" spans="3:32" ht="15.75" thickBot="1">
      <c r="F399" s="580"/>
      <c r="G399" s="132">
        <v>0</v>
      </c>
      <c r="H399" s="132">
        <v>0</v>
      </c>
      <c r="I399" s="132">
        <v>0</v>
      </c>
      <c r="J399" s="132">
        <v>0</v>
      </c>
      <c r="K399" s="133">
        <v>0</v>
      </c>
      <c r="AD399" s="50">
        <v>640.6</v>
      </c>
      <c r="AE399" s="51">
        <v>67.561000000000007</v>
      </c>
      <c r="AF399" s="52">
        <f t="shared" si="250"/>
        <v>0.17030393087030368</v>
      </c>
    </row>
    <row r="400" spans="3:32">
      <c r="AD400" s="50">
        <v>640.5</v>
      </c>
      <c r="AE400" s="51">
        <v>67.295000000000002</v>
      </c>
      <c r="AF400" s="52">
        <f t="shared" si="250"/>
        <v>0.17201720253794614</v>
      </c>
    </row>
    <row r="401" spans="4:32">
      <c r="AD401" s="50">
        <v>640.4</v>
      </c>
      <c r="AE401" s="51">
        <v>67.067999999999998</v>
      </c>
      <c r="AF401" s="52">
        <f t="shared" si="250"/>
        <v>0.17348464433647015</v>
      </c>
    </row>
    <row r="402" spans="4:32">
      <c r="AD402" s="50">
        <v>640.29999999999995</v>
      </c>
      <c r="AE402" s="51">
        <v>66.747</v>
      </c>
      <c r="AF402" s="52">
        <f t="shared" si="250"/>
        <v>0.17556824925514547</v>
      </c>
    </row>
    <row r="403" spans="4:32">
      <c r="D403" s="816" t="s">
        <v>33</v>
      </c>
      <c r="E403" s="817"/>
      <c r="F403" s="817"/>
      <c r="G403" s="817"/>
      <c r="H403" s="817"/>
      <c r="I403" s="817"/>
      <c r="J403" s="817"/>
      <c r="K403" s="817"/>
      <c r="L403" s="818"/>
      <c r="AD403" s="50">
        <v>640.20000000000005</v>
      </c>
      <c r="AE403" s="51">
        <v>66.481999999999999</v>
      </c>
      <c r="AF403" s="52">
        <f t="shared" si="250"/>
        <v>0.17729592400284661</v>
      </c>
    </row>
    <row r="404" spans="4:32">
      <c r="D404" s="782" t="s">
        <v>435</v>
      </c>
      <c r="E404" s="767"/>
      <c r="F404" s="767"/>
      <c r="G404" s="767"/>
      <c r="H404" s="767"/>
      <c r="I404" s="767"/>
      <c r="J404" s="767"/>
      <c r="K404" s="767"/>
      <c r="L404" s="768"/>
      <c r="AD404" s="50">
        <v>640.1</v>
      </c>
      <c r="AE404" s="51">
        <v>66.171000000000006</v>
      </c>
      <c r="AF404" s="52">
        <f t="shared" si="250"/>
        <v>0.17933230209208106</v>
      </c>
    </row>
    <row r="405" spans="4:32">
      <c r="D405" s="782" t="s">
        <v>358</v>
      </c>
      <c r="E405" s="767"/>
      <c r="F405" s="767"/>
      <c r="G405" s="767"/>
      <c r="H405" s="767"/>
      <c r="I405" s="767"/>
      <c r="J405" s="767"/>
      <c r="K405" s="767"/>
      <c r="L405" s="768"/>
      <c r="AD405" s="50">
        <v>640</v>
      </c>
      <c r="AE405" s="51">
        <v>65.869</v>
      </c>
      <c r="AF405" s="52">
        <f t="shared" si="250"/>
        <v>0.18131892981457462</v>
      </c>
    </row>
    <row r="406" spans="4:32">
      <c r="AD406" s="50">
        <v>639.9</v>
      </c>
      <c r="AE406" s="51">
        <v>65.59</v>
      </c>
      <c r="AF406" s="52">
        <f t="shared" si="250"/>
        <v>0.18316236909796488</v>
      </c>
    </row>
    <row r="407" spans="4:32">
      <c r="D407" s="2"/>
      <c r="E407" s="2" t="s">
        <v>357</v>
      </c>
      <c r="F407" s="2"/>
      <c r="I407" s="2"/>
      <c r="J407" s="2"/>
      <c r="K407" s="2"/>
      <c r="AD407" s="50">
        <v>639.79999999999995</v>
      </c>
      <c r="AE407" s="51">
        <v>65.311000000000007</v>
      </c>
      <c r="AF407" s="52">
        <f t="shared" si="250"/>
        <v>0.18501366655072585</v>
      </c>
    </row>
    <row r="408" spans="4:32">
      <c r="D408" s="815" t="s">
        <v>34</v>
      </c>
      <c r="E408" s="815"/>
      <c r="F408" s="815"/>
      <c r="I408" s="815" t="s">
        <v>35</v>
      </c>
      <c r="J408" s="815"/>
      <c r="K408" s="815"/>
      <c r="AD408" s="50">
        <v>639.70000000000005</v>
      </c>
      <c r="AE408" s="51">
        <v>65.067999999999998</v>
      </c>
      <c r="AF408" s="52">
        <f t="shared" si="250"/>
        <v>0.18663254200308321</v>
      </c>
    </row>
    <row r="409" spans="4:32" ht="18.75">
      <c r="D409" s="32"/>
      <c r="E409" s="32"/>
      <c r="F409" s="32"/>
      <c r="G409" s="32"/>
      <c r="H409" s="32"/>
      <c r="I409" s="32"/>
      <c r="J409" s="32"/>
      <c r="K409" s="32"/>
      <c r="L409" s="32"/>
      <c r="AD409" s="50">
        <v>639.6</v>
      </c>
      <c r="AE409" s="51">
        <v>64.8</v>
      </c>
      <c r="AF409" s="52">
        <f t="shared" si="250"/>
        <v>0.18842499412940666</v>
      </c>
    </row>
    <row r="410" spans="4:32">
      <c r="AD410" s="50">
        <v>639.5</v>
      </c>
      <c r="AE410" s="51">
        <v>64.519000000000005</v>
      </c>
      <c r="AF410" s="52">
        <f t="shared" si="250"/>
        <v>0.19031237249583982</v>
      </c>
    </row>
    <row r="411" spans="4:32">
      <c r="AD411" s="50">
        <v>639.4</v>
      </c>
      <c r="AE411" s="51">
        <v>64.224999999999994</v>
      </c>
      <c r="AF411" s="52">
        <f t="shared" si="250"/>
        <v>0.19229588706161624</v>
      </c>
    </row>
    <row r="412" spans="4:32">
      <c r="AD412" s="50">
        <v>639.29999999999995</v>
      </c>
      <c r="AE412" s="51">
        <v>64.024000000000001</v>
      </c>
      <c r="AF412" s="52">
        <f t="shared" si="250"/>
        <v>0.1936571961140979</v>
      </c>
    </row>
    <row r="413" spans="4:32">
      <c r="AD413" s="50">
        <v>639.20000000000005</v>
      </c>
      <c r="AE413" s="51">
        <v>63.816000000000003</v>
      </c>
      <c r="AF413" s="52">
        <f t="shared" si="250"/>
        <v>0.19507042095682689</v>
      </c>
    </row>
    <row r="414" spans="4:32">
      <c r="AD414" s="50">
        <v>639.1</v>
      </c>
      <c r="AE414" s="51">
        <v>63.634999999999998</v>
      </c>
      <c r="AF414" s="52">
        <f t="shared" si="250"/>
        <v>0.19630395155400662</v>
      </c>
    </row>
    <row r="415" spans="4:32">
      <c r="AD415" s="50">
        <v>639</v>
      </c>
      <c r="AE415" s="51">
        <v>63.478999999999999</v>
      </c>
      <c r="AF415" s="52">
        <f t="shared" si="250"/>
        <v>0.19736992340903975</v>
      </c>
    </row>
    <row r="416" spans="4:32">
      <c r="AD416" s="50">
        <v>638.9</v>
      </c>
      <c r="AE416" s="51">
        <v>63.26</v>
      </c>
      <c r="AF416" s="52">
        <f t="shared" si="250"/>
        <v>0.198870812420296</v>
      </c>
    </row>
    <row r="417" spans="30:32">
      <c r="AD417" s="50">
        <v>638.79999999999995</v>
      </c>
      <c r="AE417" s="51">
        <v>63.097999999999999</v>
      </c>
      <c r="AF417" s="52">
        <f t="shared" si="250"/>
        <v>0.19998440625078445</v>
      </c>
    </row>
    <row r="418" spans="30:32">
      <c r="AD418" s="50">
        <v>638.70000000000005</v>
      </c>
      <c r="AE418" s="51">
        <v>62.911000000000001</v>
      </c>
      <c r="AF418" s="52">
        <f t="shared" si="250"/>
        <v>0.20127341144461969</v>
      </c>
    </row>
    <row r="419" spans="30:32">
      <c r="AD419" s="50">
        <v>638.6</v>
      </c>
      <c r="AE419" s="51">
        <v>62.783999999999999</v>
      </c>
      <c r="AF419" s="52">
        <f t="shared" si="250"/>
        <v>0.20215101863616436</v>
      </c>
    </row>
    <row r="420" spans="30:32">
      <c r="AD420" s="50">
        <v>638.5</v>
      </c>
      <c r="AE420" s="51">
        <v>62.668999999999997</v>
      </c>
      <c r="AF420" s="52">
        <f t="shared" si="250"/>
        <v>0.20294723521780261</v>
      </c>
    </row>
    <row r="421" spans="30:32">
      <c r="AD421" s="50">
        <v>638.4</v>
      </c>
      <c r="AE421" s="51">
        <v>62.536000000000001</v>
      </c>
      <c r="AF421" s="52">
        <f t="shared" si="250"/>
        <v>0.20386990105093847</v>
      </c>
    </row>
    <row r="422" spans="30:32">
      <c r="AD422" s="50">
        <v>638.29999999999995</v>
      </c>
      <c r="AE422" s="51">
        <v>62.447000000000003</v>
      </c>
      <c r="AF422" s="52">
        <f t="shared" si="250"/>
        <v>0.20448842061636205</v>
      </c>
    </row>
    <row r="423" spans="30:32">
      <c r="AD423" s="50">
        <v>638.20000000000005</v>
      </c>
      <c r="AE423" s="51">
        <v>62.345999999999997</v>
      </c>
      <c r="AF423" s="52">
        <f t="shared" si="250"/>
        <v>0.20519140479415432</v>
      </c>
    </row>
    <row r="424" spans="30:32">
      <c r="AD424" s="50">
        <v>638.1</v>
      </c>
      <c r="AE424" s="51">
        <v>62.253999999999998</v>
      </c>
      <c r="AF424" s="52">
        <f t="shared" si="250"/>
        <v>0.20583273865604843</v>
      </c>
    </row>
    <row r="425" spans="30:32">
      <c r="AD425" s="50">
        <v>638</v>
      </c>
      <c r="AE425" s="51">
        <v>62.247999999999998</v>
      </c>
      <c r="AF425" s="52">
        <f t="shared" si="250"/>
        <v>0.20587459769274566</v>
      </c>
    </row>
    <row r="426" spans="30:32">
      <c r="AD426" s="50">
        <v>637.9</v>
      </c>
      <c r="AE426" s="51">
        <v>62.222999999999999</v>
      </c>
      <c r="AF426" s="52">
        <f t="shared" si="250"/>
        <v>0.20604905378602967</v>
      </c>
    </row>
    <row r="427" spans="30:32">
      <c r="AD427" s="50">
        <v>637.79999999999995</v>
      </c>
      <c r="AE427" s="51">
        <v>62.222999999999999</v>
      </c>
      <c r="AF427" s="52">
        <f t="shared" si="250"/>
        <v>0.20604905378602967</v>
      </c>
    </row>
    <row r="428" spans="30:32">
      <c r="AD428" s="50">
        <v>637.70000000000005</v>
      </c>
      <c r="AE428" s="51">
        <v>62.204000000000001</v>
      </c>
      <c r="AF428" s="52">
        <f t="shared" si="250"/>
        <v>0.2061816873015897</v>
      </c>
    </row>
    <row r="429" spans="30:32">
      <c r="AD429" s="50">
        <v>637.6</v>
      </c>
      <c r="AE429" s="51">
        <v>62.173000000000002</v>
      </c>
      <c r="AF429" s="52">
        <f t="shared" si="250"/>
        <v>0.20639817635049401</v>
      </c>
    </row>
    <row r="430" spans="30:32">
      <c r="AD430" s="50">
        <v>637.5</v>
      </c>
      <c r="AE430" s="51">
        <v>62.207999999999998</v>
      </c>
      <c r="AF430" s="52">
        <f t="shared" si="250"/>
        <v>0.20615376108983827</v>
      </c>
    </row>
    <row r="431" spans="30:32">
      <c r="AD431" s="50">
        <v>637.4</v>
      </c>
      <c r="AE431" s="51">
        <v>62.215000000000003</v>
      </c>
      <c r="AF431" s="52">
        <f t="shared" si="250"/>
        <v>0.20610489453981889</v>
      </c>
    </row>
    <row r="432" spans="30:32">
      <c r="AD432" s="50">
        <v>637.29999999999995</v>
      </c>
      <c r="AE432" s="51">
        <v>62.262999999999998</v>
      </c>
      <c r="AF432" s="52">
        <f t="shared" si="250"/>
        <v>0.20576995766479522</v>
      </c>
    </row>
    <row r="433" spans="30:32">
      <c r="AD433" s="50">
        <v>637.20000000000005</v>
      </c>
      <c r="AE433" s="51">
        <v>62.298999999999999</v>
      </c>
      <c r="AF433" s="52">
        <f t="shared" si="250"/>
        <v>0.20551892441574929</v>
      </c>
    </row>
    <row r="434" spans="30:32">
      <c r="AD434" s="50">
        <v>637.1</v>
      </c>
      <c r="AE434" s="51">
        <v>62.395000000000003</v>
      </c>
      <c r="AF434" s="52">
        <f t="shared" si="250"/>
        <v>0.20485021094918268</v>
      </c>
    </row>
    <row r="435" spans="30:32">
      <c r="AD435" s="50">
        <v>637</v>
      </c>
      <c r="AE435" s="51">
        <v>62.448</v>
      </c>
      <c r="AF435" s="52">
        <f t="shared" si="250"/>
        <v>0.20448146606282649</v>
      </c>
    </row>
    <row r="436" spans="30:32">
      <c r="AD436" s="50">
        <v>636.9</v>
      </c>
      <c r="AE436" s="51">
        <v>62.542000000000002</v>
      </c>
      <c r="AF436" s="52">
        <f t="shared" si="250"/>
        <v>0.20382823478039663</v>
      </c>
    </row>
    <row r="437" spans="30:32">
      <c r="AD437" s="50">
        <v>636.79999999999995</v>
      </c>
      <c r="AE437" s="51">
        <v>62.616999999999997</v>
      </c>
      <c r="AF437" s="52">
        <f t="shared" si="250"/>
        <v>0.20330774340476288</v>
      </c>
    </row>
    <row r="438" spans="30:32">
      <c r="AD438" s="50">
        <v>636.70000000000005</v>
      </c>
      <c r="AE438" s="51">
        <v>62.697000000000003</v>
      </c>
      <c r="AF438" s="52">
        <f t="shared" si="250"/>
        <v>0.20275323930670244</v>
      </c>
    </row>
    <row r="439" spans="30:32">
      <c r="AD439" s="50">
        <v>636.6</v>
      </c>
      <c r="AE439" s="51">
        <v>62.853000000000002</v>
      </c>
      <c r="AF439" s="52">
        <f t="shared" si="250"/>
        <v>0.20167398842588932</v>
      </c>
    </row>
    <row r="440" spans="30:32">
      <c r="AD440" s="50">
        <v>636.5</v>
      </c>
      <c r="AE440" s="51">
        <v>62.99</v>
      </c>
      <c r="AF440" s="52">
        <f t="shared" si="250"/>
        <v>0.20072839165012735</v>
      </c>
    </row>
    <row r="441" spans="30:32">
      <c r="AD441" s="50">
        <v>636.4</v>
      </c>
      <c r="AE441" s="51">
        <v>63.100999999999999</v>
      </c>
      <c r="AF441" s="52">
        <f t="shared" si="250"/>
        <v>0.19996375817202069</v>
      </c>
    </row>
    <row r="442" spans="30:32">
      <c r="AD442" s="50">
        <v>636.29999999999995</v>
      </c>
      <c r="AE442" s="51">
        <v>63.220999999999997</v>
      </c>
      <c r="AF442" s="52">
        <f t="shared" si="250"/>
        <v>0.19913863897655376</v>
      </c>
    </row>
    <row r="443" spans="30:32">
      <c r="AD443" s="50">
        <v>636.20000000000005</v>
      </c>
      <c r="AE443" s="51">
        <v>63.341000000000001</v>
      </c>
      <c r="AF443" s="52">
        <f t="shared" si="250"/>
        <v>0.19831508445868121</v>
      </c>
    </row>
    <row r="444" spans="30:32">
      <c r="AD444" s="50">
        <v>636.1</v>
      </c>
      <c r="AE444" s="51">
        <v>63.499000000000002</v>
      </c>
      <c r="AF444" s="52">
        <f t="shared" si="250"/>
        <v>0.19723311404505706</v>
      </c>
    </row>
    <row r="445" spans="30:32">
      <c r="AD445" s="50">
        <v>636</v>
      </c>
      <c r="AE445" s="51">
        <v>63.656999999999996</v>
      </c>
      <c r="AF445" s="52">
        <f t="shared" si="250"/>
        <v>0.19615383247822804</v>
      </c>
    </row>
    <row r="446" spans="30:32">
      <c r="AD446" s="50">
        <v>635.9</v>
      </c>
      <c r="AE446" s="51">
        <v>63.851999999999997</v>
      </c>
      <c r="AF446" s="52">
        <f t="shared" si="250"/>
        <v>0.19482549502765278</v>
      </c>
    </row>
    <row r="447" spans="30:32">
      <c r="AD447" s="50">
        <v>635.79999999999995</v>
      </c>
      <c r="AE447" s="51">
        <v>64.016999999999996</v>
      </c>
      <c r="AF447" s="52">
        <f t="shared" si="250"/>
        <v>0.19370468186282461</v>
      </c>
    </row>
    <row r="448" spans="30:32">
      <c r="AD448" s="50">
        <v>635.70000000000005</v>
      </c>
      <c r="AE448" s="51">
        <v>64.227999999999994</v>
      </c>
      <c r="AF448" s="52">
        <f t="shared" si="250"/>
        <v>0.19227560130035032</v>
      </c>
    </row>
    <row r="449" spans="30:32">
      <c r="AD449" s="50">
        <v>635.6</v>
      </c>
      <c r="AE449" s="51">
        <v>64.408000000000001</v>
      </c>
      <c r="AF449" s="52">
        <f t="shared" si="250"/>
        <v>0.19106018636573766</v>
      </c>
    </row>
    <row r="450" spans="30:32">
      <c r="AD450" s="50">
        <v>635.5</v>
      </c>
      <c r="AE450" s="51">
        <v>64.626999999999995</v>
      </c>
      <c r="AF450" s="52">
        <f t="shared" si="250"/>
        <v>0.18958600365779016</v>
      </c>
    </row>
    <row r="451" spans="30:32">
      <c r="AD451" s="50">
        <v>635.4</v>
      </c>
      <c r="AE451" s="51">
        <v>64.811000000000007</v>
      </c>
      <c r="AF451" s="52">
        <f t="shared" si="250"/>
        <v>0.18835127755731929</v>
      </c>
    </row>
    <row r="452" spans="30:32">
      <c r="AD452" s="50">
        <v>635.29999999999995</v>
      </c>
      <c r="AE452" s="51">
        <v>65.08</v>
      </c>
      <c r="AF452" s="52">
        <f t="shared" si="250"/>
        <v>0.18655245573517887</v>
      </c>
    </row>
    <row r="453" spans="30:32">
      <c r="AD453" s="50">
        <v>635.20000000000005</v>
      </c>
      <c r="AE453" s="51">
        <v>65.317999999999998</v>
      </c>
      <c r="AF453" s="52">
        <f t="shared" ref="AF453:AF516" si="251">-LOG(AE453/100)</f>
        <v>0.18496712158174913</v>
      </c>
    </row>
    <row r="454" spans="30:32">
      <c r="AD454" s="50">
        <v>635.1</v>
      </c>
      <c r="AE454" s="51">
        <v>65.525999999999996</v>
      </c>
      <c r="AF454" s="52">
        <f t="shared" si="251"/>
        <v>0.18358634251157216</v>
      </c>
    </row>
    <row r="455" spans="30:32">
      <c r="AD455" s="50">
        <v>635</v>
      </c>
      <c r="AE455" s="51">
        <v>65.805000000000007</v>
      </c>
      <c r="AF455" s="52">
        <f t="shared" si="251"/>
        <v>0.18174110653937361</v>
      </c>
    </row>
    <row r="456" spans="30:32">
      <c r="AD456" s="50">
        <v>634.9</v>
      </c>
      <c r="AE456" s="51">
        <v>66.058000000000007</v>
      </c>
      <c r="AF456" s="52">
        <f t="shared" si="251"/>
        <v>0.18007457932932386</v>
      </c>
    </row>
    <row r="457" spans="30:32">
      <c r="AD457" s="50">
        <v>634.79999999999995</v>
      </c>
      <c r="AE457" s="51">
        <v>66.350999999999999</v>
      </c>
      <c r="AF457" s="52">
        <f t="shared" si="251"/>
        <v>0.17815252734047735</v>
      </c>
    </row>
    <row r="458" spans="30:32">
      <c r="AD458" s="50">
        <v>634.70000000000005</v>
      </c>
      <c r="AE458" s="51">
        <v>66.707999999999998</v>
      </c>
      <c r="AF458" s="52">
        <f t="shared" si="251"/>
        <v>0.17582207991381515</v>
      </c>
    </row>
    <row r="459" spans="30:32">
      <c r="AD459" s="50">
        <v>634.6</v>
      </c>
      <c r="AE459" s="51">
        <v>67.007000000000005</v>
      </c>
      <c r="AF459" s="52">
        <f t="shared" si="251"/>
        <v>0.17387982561894655</v>
      </c>
    </row>
    <row r="460" spans="30:32">
      <c r="AD460" s="50">
        <v>634.5</v>
      </c>
      <c r="AE460" s="51">
        <v>67.346999999999994</v>
      </c>
      <c r="AF460" s="52">
        <f t="shared" si="251"/>
        <v>0.17168174533764033</v>
      </c>
    </row>
    <row r="461" spans="30:32">
      <c r="AD461" s="50">
        <v>634.4</v>
      </c>
      <c r="AE461" s="51">
        <v>67.644000000000005</v>
      </c>
      <c r="AF461" s="52">
        <f t="shared" si="251"/>
        <v>0.16977071913218711</v>
      </c>
    </row>
    <row r="462" spans="30:32">
      <c r="AD462" s="50">
        <v>634.29999999999995</v>
      </c>
      <c r="AE462" s="51">
        <v>67.995999999999995</v>
      </c>
      <c r="AF462" s="52">
        <f t="shared" si="251"/>
        <v>0.16751663477939735</v>
      </c>
    </row>
    <row r="463" spans="30:32">
      <c r="AD463" s="50">
        <v>634.20000000000005</v>
      </c>
      <c r="AE463" s="51">
        <v>68.361000000000004</v>
      </c>
      <c r="AF463" s="52">
        <f t="shared" si="251"/>
        <v>0.16519159294800337</v>
      </c>
    </row>
    <row r="464" spans="30:32">
      <c r="AD464" s="50">
        <v>634.1</v>
      </c>
      <c r="AE464" s="51">
        <v>68.721000000000004</v>
      </c>
      <c r="AF464" s="52">
        <f t="shared" si="251"/>
        <v>0.16291052945443271</v>
      </c>
    </row>
    <row r="465" spans="30:32">
      <c r="AD465" s="50">
        <v>634</v>
      </c>
      <c r="AE465" s="51">
        <v>69.111000000000004</v>
      </c>
      <c r="AF465" s="52">
        <f t="shared" si="251"/>
        <v>0.16045282297170715</v>
      </c>
    </row>
    <row r="466" spans="30:32">
      <c r="AD466" s="50">
        <v>633.9</v>
      </c>
      <c r="AE466" s="51">
        <v>69.516000000000005</v>
      </c>
      <c r="AF466" s="52">
        <f t="shared" si="251"/>
        <v>0.15791522545331801</v>
      </c>
    </row>
    <row r="467" spans="30:32">
      <c r="AD467" s="50">
        <v>633.79999999999995</v>
      </c>
      <c r="AE467" s="51">
        <v>69.881</v>
      </c>
      <c r="AF467" s="52">
        <f t="shared" si="251"/>
        <v>0.15564088887264266</v>
      </c>
    </row>
    <row r="468" spans="30:32">
      <c r="AD468" s="50">
        <v>633.70000000000005</v>
      </c>
      <c r="AE468" s="51">
        <v>70.263999999999996</v>
      </c>
      <c r="AF468" s="52">
        <f t="shared" si="251"/>
        <v>0.15326713025592745</v>
      </c>
    </row>
    <row r="469" spans="30:32">
      <c r="AD469" s="50">
        <v>633.6</v>
      </c>
      <c r="AE469" s="51">
        <v>70.673000000000002</v>
      </c>
      <c r="AF469" s="52">
        <f t="shared" si="251"/>
        <v>0.15074647291631962</v>
      </c>
    </row>
    <row r="470" spans="30:32">
      <c r="AD470" s="50">
        <v>633.5</v>
      </c>
      <c r="AE470" s="51">
        <v>71.09</v>
      </c>
      <c r="AF470" s="52">
        <f t="shared" si="251"/>
        <v>0.14819148577176247</v>
      </c>
    </row>
    <row r="471" spans="30:32">
      <c r="AD471" s="50">
        <v>633.4</v>
      </c>
      <c r="AE471" s="51">
        <v>71.528999999999996</v>
      </c>
      <c r="AF471" s="52">
        <f t="shared" si="251"/>
        <v>0.1455178464992252</v>
      </c>
    </row>
    <row r="472" spans="30:32">
      <c r="AD472" s="50">
        <v>633.29999999999995</v>
      </c>
      <c r="AE472" s="51">
        <v>71.983000000000004</v>
      </c>
      <c r="AF472" s="52">
        <f t="shared" si="251"/>
        <v>0.14277005742893253</v>
      </c>
    </row>
    <row r="473" spans="30:32">
      <c r="AD473" s="50">
        <v>633.20000000000005</v>
      </c>
      <c r="AE473" s="51">
        <v>72.456000000000003</v>
      </c>
      <c r="AF473" s="52">
        <f t="shared" si="251"/>
        <v>0.13992564526529624</v>
      </c>
    </row>
    <row r="474" spans="30:32">
      <c r="AD474" s="50">
        <v>633.1</v>
      </c>
      <c r="AE474" s="51">
        <v>72.858000000000004</v>
      </c>
      <c r="AF474" s="52">
        <f t="shared" si="251"/>
        <v>0.13752275459952928</v>
      </c>
    </row>
    <row r="475" spans="30:32">
      <c r="AD475" s="50">
        <v>633</v>
      </c>
      <c r="AE475" s="51">
        <v>73.228999999999999</v>
      </c>
      <c r="AF475" s="52">
        <f t="shared" si="251"/>
        <v>0.13531689645781245</v>
      </c>
    </row>
    <row r="476" spans="30:32">
      <c r="AD476" s="50">
        <v>632.9</v>
      </c>
      <c r="AE476" s="51">
        <v>73.686999999999998</v>
      </c>
      <c r="AF476" s="52">
        <f t="shared" si="251"/>
        <v>0.13260912443754705</v>
      </c>
    </row>
    <row r="477" spans="30:32">
      <c r="AD477" s="50">
        <v>632.79999999999995</v>
      </c>
      <c r="AE477" s="51">
        <v>74.147999999999996</v>
      </c>
      <c r="AF477" s="52">
        <f t="shared" si="251"/>
        <v>0.12990055873779693</v>
      </c>
    </row>
    <row r="478" spans="30:32">
      <c r="AD478" s="50">
        <v>632.70000000000005</v>
      </c>
      <c r="AE478" s="51">
        <v>74.555999999999997</v>
      </c>
      <c r="AF478" s="52">
        <f t="shared" si="251"/>
        <v>0.12751740033926015</v>
      </c>
    </row>
    <row r="479" spans="30:32">
      <c r="AD479" s="50">
        <v>632.6</v>
      </c>
      <c r="AE479" s="51">
        <v>74.98</v>
      </c>
      <c r="AF479" s="52">
        <f t="shared" si="251"/>
        <v>0.12505456391446809</v>
      </c>
    </row>
    <row r="480" spans="30:32">
      <c r="AD480" s="50">
        <v>632.5</v>
      </c>
      <c r="AE480" s="51">
        <v>75.436000000000007</v>
      </c>
      <c r="AF480" s="52">
        <f t="shared" si="251"/>
        <v>0.12242134816022696</v>
      </c>
    </row>
    <row r="481" spans="30:32">
      <c r="AD481" s="50">
        <v>632.4</v>
      </c>
      <c r="AE481" s="51">
        <v>75.816000000000003</v>
      </c>
      <c r="AF481" s="52">
        <f t="shared" si="251"/>
        <v>0.12023913238324499</v>
      </c>
    </row>
    <row r="482" spans="30:32">
      <c r="AD482" s="50">
        <v>632.29999999999995</v>
      </c>
      <c r="AE482" s="51">
        <v>76.234999999999999</v>
      </c>
      <c r="AF482" s="52">
        <f t="shared" si="251"/>
        <v>0.11784559536576603</v>
      </c>
    </row>
    <row r="483" spans="30:32">
      <c r="AD483" s="50">
        <v>632.20000000000005</v>
      </c>
      <c r="AE483" s="51">
        <v>76.616</v>
      </c>
      <c r="AF483" s="52">
        <f t="shared" si="251"/>
        <v>0.11568052558805567</v>
      </c>
    </row>
    <row r="484" spans="30:32">
      <c r="AD484" s="50">
        <v>632.1</v>
      </c>
      <c r="AE484" s="51">
        <v>77.048000000000002</v>
      </c>
      <c r="AF484" s="52">
        <f t="shared" si="251"/>
        <v>0.11323863014785981</v>
      </c>
    </row>
    <row r="485" spans="30:32">
      <c r="AD485" s="50">
        <v>632</v>
      </c>
      <c r="AE485" s="51">
        <v>77.465999999999994</v>
      </c>
      <c r="AF485" s="52">
        <f t="shared" si="251"/>
        <v>0.11088886849147823</v>
      </c>
    </row>
    <row r="486" spans="30:32">
      <c r="AD486" s="50">
        <v>631.9</v>
      </c>
      <c r="AE486" s="51">
        <v>77.861999999999995</v>
      </c>
      <c r="AF486" s="52">
        <f t="shared" si="251"/>
        <v>0.10867444498199486</v>
      </c>
    </row>
    <row r="487" spans="30:32">
      <c r="AD487" s="50">
        <v>631.79999999999995</v>
      </c>
      <c r="AE487" s="51">
        <v>78.210999999999999</v>
      </c>
      <c r="AF487" s="52">
        <f t="shared" si="251"/>
        <v>0.10673216121972555</v>
      </c>
    </row>
    <row r="488" spans="30:32">
      <c r="AD488" s="50">
        <v>631.70000000000005</v>
      </c>
      <c r="AE488" s="51">
        <v>78.546999999999997</v>
      </c>
      <c r="AF488" s="52">
        <f t="shared" si="251"/>
        <v>0.10487039761734152</v>
      </c>
    </row>
    <row r="489" spans="30:32">
      <c r="AD489" s="50">
        <v>631.6</v>
      </c>
      <c r="AE489" s="51">
        <v>78.924999999999997</v>
      </c>
      <c r="AF489" s="52">
        <f t="shared" si="251"/>
        <v>0.10278540943574502</v>
      </c>
    </row>
    <row r="490" spans="30:32">
      <c r="AD490" s="50">
        <v>631.5</v>
      </c>
      <c r="AE490" s="51">
        <v>79.281000000000006</v>
      </c>
      <c r="AF490" s="52">
        <f t="shared" si="251"/>
        <v>0.10083088057445949</v>
      </c>
    </row>
    <row r="491" spans="30:32">
      <c r="AD491" s="50">
        <v>631.4</v>
      </c>
      <c r="AE491" s="51">
        <v>79.646000000000001</v>
      </c>
      <c r="AF491" s="52">
        <f t="shared" si="251"/>
        <v>9.8836030553990414E-2</v>
      </c>
    </row>
    <row r="492" spans="30:32">
      <c r="AD492" s="50">
        <v>631.29999999999995</v>
      </c>
      <c r="AE492" s="51">
        <v>79.927999999999997</v>
      </c>
      <c r="AF492" s="52">
        <f t="shared" si="251"/>
        <v>9.7301054036639356E-2</v>
      </c>
    </row>
    <row r="493" spans="30:32">
      <c r="AD493" s="50">
        <v>631.20000000000005</v>
      </c>
      <c r="AE493" s="51">
        <v>80.275000000000006</v>
      </c>
      <c r="AF493" s="52">
        <f t="shared" si="251"/>
        <v>9.5419685761459844E-2</v>
      </c>
    </row>
    <row r="494" spans="30:32">
      <c r="AD494" s="50">
        <v>631.1</v>
      </c>
      <c r="AE494" s="51">
        <v>80.567999999999998</v>
      </c>
      <c r="AF494" s="52">
        <f t="shared" si="251"/>
        <v>9.3837417040381524E-2</v>
      </c>
    </row>
    <row r="495" spans="30:32">
      <c r="AD495" s="50">
        <v>631</v>
      </c>
      <c r="AE495" s="51">
        <v>80.855999999999995</v>
      </c>
      <c r="AF495" s="52">
        <f t="shared" si="251"/>
        <v>9.2287747307273779E-2</v>
      </c>
    </row>
    <row r="496" spans="30:32">
      <c r="AD496" s="50">
        <v>630.9</v>
      </c>
      <c r="AE496" s="51">
        <v>81.16</v>
      </c>
      <c r="AF496" s="52">
        <f t="shared" si="251"/>
        <v>9.0657961638691623E-2</v>
      </c>
    </row>
    <row r="497" spans="30:32">
      <c r="AD497" s="50">
        <v>630.79999999999995</v>
      </c>
      <c r="AE497" s="51">
        <v>81.415000000000006</v>
      </c>
      <c r="AF497" s="52">
        <f t="shared" si="251"/>
        <v>8.9295572787954053E-2</v>
      </c>
    </row>
    <row r="498" spans="30:32">
      <c r="AD498" s="50">
        <v>630.70000000000005</v>
      </c>
      <c r="AE498" s="51">
        <v>81.736999999999995</v>
      </c>
      <c r="AF498" s="52">
        <f t="shared" si="251"/>
        <v>8.7581306278882651E-2</v>
      </c>
    </row>
    <row r="499" spans="30:32">
      <c r="AD499" s="50">
        <v>630.6</v>
      </c>
      <c r="AE499" s="51">
        <v>81.971000000000004</v>
      </c>
      <c r="AF499" s="52">
        <f t="shared" si="251"/>
        <v>8.6339766733157755E-2</v>
      </c>
    </row>
    <row r="500" spans="30:32">
      <c r="AD500" s="50">
        <v>630.5</v>
      </c>
      <c r="AE500" s="51">
        <v>82.244</v>
      </c>
      <c r="AF500" s="52">
        <f t="shared" si="251"/>
        <v>8.4895775590015002E-2</v>
      </c>
    </row>
    <row r="501" spans="30:32">
      <c r="AD501" s="50">
        <v>630.4</v>
      </c>
      <c r="AE501" s="51">
        <v>82.435000000000002</v>
      </c>
      <c r="AF501" s="52">
        <f t="shared" si="251"/>
        <v>8.3888357725700316E-2</v>
      </c>
    </row>
    <row r="502" spans="30:32">
      <c r="AD502" s="50">
        <v>630.29999999999995</v>
      </c>
      <c r="AE502" s="51">
        <v>82.644000000000005</v>
      </c>
      <c r="AF502" s="52">
        <f t="shared" si="251"/>
        <v>8.2788670967055E-2</v>
      </c>
    </row>
    <row r="503" spans="30:32">
      <c r="AD503" s="50">
        <v>630.20000000000005</v>
      </c>
      <c r="AE503" s="51">
        <v>82.875</v>
      </c>
      <c r="AF503" s="52">
        <f t="shared" si="251"/>
        <v>8.1576458587170456E-2</v>
      </c>
    </row>
    <row r="504" spans="30:32">
      <c r="AD504" s="50">
        <v>630.1</v>
      </c>
      <c r="AE504" s="51">
        <v>83.113</v>
      </c>
      <c r="AF504" s="52">
        <f t="shared" si="251"/>
        <v>8.0331041357890459E-2</v>
      </c>
    </row>
    <row r="505" spans="30:32">
      <c r="AD505" s="50">
        <v>630</v>
      </c>
      <c r="AE505" s="51">
        <v>83.349000000000004</v>
      </c>
      <c r="AF505" s="52">
        <f t="shared" si="251"/>
        <v>7.9099606358917288E-2</v>
      </c>
    </row>
    <row r="506" spans="30:32">
      <c r="AD506" s="50">
        <v>629.9</v>
      </c>
      <c r="AE506" s="51">
        <v>83.543999999999997</v>
      </c>
      <c r="AF506" s="52">
        <f t="shared" si="251"/>
        <v>7.8084735004105621E-2</v>
      </c>
    </row>
    <row r="507" spans="30:32">
      <c r="AD507" s="50">
        <v>629.79999999999995</v>
      </c>
      <c r="AE507" s="51">
        <v>83.662999999999997</v>
      </c>
      <c r="AF507" s="52">
        <f t="shared" si="251"/>
        <v>7.7466566481590587E-2</v>
      </c>
    </row>
    <row r="508" spans="30:32">
      <c r="AD508" s="50">
        <v>629.70000000000005</v>
      </c>
      <c r="AE508" s="51">
        <v>83.87</v>
      </c>
      <c r="AF508" s="52">
        <f t="shared" si="251"/>
        <v>7.6393356982540878E-2</v>
      </c>
    </row>
    <row r="509" spans="30:32">
      <c r="AD509" s="50">
        <v>629.6</v>
      </c>
      <c r="AE509" s="51">
        <v>84.113</v>
      </c>
      <c r="AF509" s="52">
        <f t="shared" si="251"/>
        <v>7.5136877068323088E-2</v>
      </c>
    </row>
    <row r="510" spans="30:32">
      <c r="AD510" s="50">
        <v>629.5</v>
      </c>
      <c r="AE510" s="51">
        <v>84.26</v>
      </c>
      <c r="AF510" s="52">
        <f t="shared" si="251"/>
        <v>7.4378545209171018E-2</v>
      </c>
    </row>
    <row r="511" spans="30:32">
      <c r="AD511" s="50">
        <v>629.4</v>
      </c>
      <c r="AE511" s="51">
        <v>84.397000000000006</v>
      </c>
      <c r="AF511" s="52">
        <f t="shared" si="251"/>
        <v>7.367299065635638E-2</v>
      </c>
    </row>
    <row r="512" spans="30:32">
      <c r="AD512" s="50">
        <v>629.29999999999995</v>
      </c>
      <c r="AE512" s="51">
        <v>84.566999999999993</v>
      </c>
      <c r="AF512" s="52">
        <f t="shared" si="251"/>
        <v>7.2799075658649209E-2</v>
      </c>
    </row>
    <row r="513" spans="30:32">
      <c r="AD513" s="50">
        <v>629.20000000000005</v>
      </c>
      <c r="AE513" s="51">
        <v>84.653000000000006</v>
      </c>
      <c r="AF513" s="52">
        <f t="shared" si="251"/>
        <v>7.2357646410815241E-2</v>
      </c>
    </row>
    <row r="514" spans="30:32">
      <c r="AD514" s="50">
        <v>629.1</v>
      </c>
      <c r="AE514" s="51">
        <v>84.816000000000003</v>
      </c>
      <c r="AF514" s="52">
        <f t="shared" si="251"/>
        <v>7.1522213117648697E-2</v>
      </c>
    </row>
    <row r="515" spans="30:32">
      <c r="AD515" s="50">
        <v>629</v>
      </c>
      <c r="AE515" s="51">
        <v>84.936000000000007</v>
      </c>
      <c r="AF515" s="52">
        <f t="shared" si="251"/>
        <v>7.0908195650879038E-2</v>
      </c>
    </row>
    <row r="516" spans="30:32">
      <c r="AD516" s="50">
        <v>628.9</v>
      </c>
      <c r="AE516" s="51">
        <v>85.075999999999993</v>
      </c>
      <c r="AF516" s="52">
        <f t="shared" si="251"/>
        <v>7.0192937419581727E-2</v>
      </c>
    </row>
    <row r="517" spans="30:32">
      <c r="AD517" s="50">
        <v>628.79999999999995</v>
      </c>
      <c r="AE517" s="51">
        <v>85.24</v>
      </c>
      <c r="AF517" s="52">
        <f t="shared" ref="AF517:AF580" si="252">-LOG(AE517/100)</f>
        <v>6.9356558957835671E-2</v>
      </c>
    </row>
    <row r="518" spans="30:32">
      <c r="AD518" s="50">
        <v>628.70000000000005</v>
      </c>
      <c r="AE518" s="51">
        <v>85.366</v>
      </c>
      <c r="AF518" s="52">
        <f t="shared" si="252"/>
        <v>6.87150678652719E-2</v>
      </c>
    </row>
    <row r="519" spans="30:32">
      <c r="AD519" s="50">
        <v>628.6</v>
      </c>
      <c r="AE519" s="51">
        <v>85.456000000000003</v>
      </c>
      <c r="AF519" s="52">
        <f t="shared" si="252"/>
        <v>6.8257439374937931E-2</v>
      </c>
    </row>
    <row r="520" spans="30:32">
      <c r="AD520" s="50">
        <v>628.5</v>
      </c>
      <c r="AE520" s="51">
        <v>85.555000000000007</v>
      </c>
      <c r="AF520" s="52">
        <f t="shared" si="252"/>
        <v>6.7754604370037511E-2</v>
      </c>
    </row>
    <row r="521" spans="30:32">
      <c r="AD521" s="50">
        <v>628.4</v>
      </c>
      <c r="AE521" s="51">
        <v>85.727999999999994</v>
      </c>
      <c r="AF521" s="52">
        <f t="shared" si="252"/>
        <v>6.6877308071885203E-2</v>
      </c>
    </row>
    <row r="522" spans="30:32">
      <c r="AD522" s="50">
        <v>628.29999999999995</v>
      </c>
      <c r="AE522" s="51">
        <v>85.837999999999994</v>
      </c>
      <c r="AF522" s="52">
        <f t="shared" si="252"/>
        <v>6.6320409857141022E-2</v>
      </c>
    </row>
    <row r="523" spans="30:32">
      <c r="AD523" s="50">
        <v>628.20000000000005</v>
      </c>
      <c r="AE523" s="51">
        <v>85.932000000000002</v>
      </c>
      <c r="AF523" s="52">
        <f t="shared" si="252"/>
        <v>6.5845080225958197E-2</v>
      </c>
    </row>
    <row r="524" spans="30:32">
      <c r="AD524" s="50">
        <v>628.1</v>
      </c>
      <c r="AE524" s="51">
        <v>86.028999999999996</v>
      </c>
      <c r="AF524" s="52">
        <f t="shared" si="252"/>
        <v>6.5355125303473788E-2</v>
      </c>
    </row>
    <row r="525" spans="30:32">
      <c r="AD525" s="50">
        <v>628</v>
      </c>
      <c r="AE525" s="51">
        <v>86.096000000000004</v>
      </c>
      <c r="AF525" s="52">
        <f t="shared" si="252"/>
        <v>6.5017025297581299E-2</v>
      </c>
    </row>
    <row r="526" spans="30:32">
      <c r="AD526" s="50">
        <v>627.9</v>
      </c>
      <c r="AE526" s="51">
        <v>86.17</v>
      </c>
      <c r="AF526" s="52">
        <f t="shared" si="252"/>
        <v>6.4643907054426852E-2</v>
      </c>
    </row>
    <row r="527" spans="30:32">
      <c r="AD527" s="50">
        <v>627.79999999999995</v>
      </c>
      <c r="AE527" s="51">
        <v>86.308000000000007</v>
      </c>
      <c r="AF527" s="52">
        <f t="shared" si="252"/>
        <v>6.394894710253099E-2</v>
      </c>
    </row>
    <row r="528" spans="30:32">
      <c r="AD528" s="50">
        <v>627.70000000000005</v>
      </c>
      <c r="AE528" s="51">
        <v>86.326999999999998</v>
      </c>
      <c r="AF528" s="52">
        <f t="shared" si="252"/>
        <v>6.3853351247814674E-2</v>
      </c>
    </row>
    <row r="529" spans="30:32">
      <c r="AD529" s="50">
        <v>627.6</v>
      </c>
      <c r="AE529" s="51">
        <v>86.391000000000005</v>
      </c>
      <c r="AF529" s="52">
        <f t="shared" si="252"/>
        <v>6.3531498886000265E-2</v>
      </c>
    </row>
    <row r="530" spans="30:32">
      <c r="AD530" s="50">
        <v>627.5</v>
      </c>
      <c r="AE530" s="51">
        <v>86.513000000000005</v>
      </c>
      <c r="AF530" s="52">
        <f t="shared" si="252"/>
        <v>6.2918627748431377E-2</v>
      </c>
    </row>
    <row r="531" spans="30:32">
      <c r="AD531" s="50">
        <v>627.4</v>
      </c>
      <c r="AE531" s="51">
        <v>86.613</v>
      </c>
      <c r="AF531" s="52">
        <f t="shared" si="252"/>
        <v>6.2416918553738203E-2</v>
      </c>
    </row>
    <row r="532" spans="30:32">
      <c r="AD532" s="50">
        <v>627.29999999999995</v>
      </c>
      <c r="AE532" s="51">
        <v>86.71</v>
      </c>
      <c r="AF532" s="52">
        <f t="shared" si="252"/>
        <v>6.1930813776614274E-2</v>
      </c>
    </row>
    <row r="533" spans="30:32">
      <c r="AD533" s="50">
        <v>627.20000000000005</v>
      </c>
      <c r="AE533" s="51">
        <v>86.733000000000004</v>
      </c>
      <c r="AF533" s="52">
        <f t="shared" si="252"/>
        <v>6.1815631576786913E-2</v>
      </c>
    </row>
    <row r="534" spans="30:32">
      <c r="AD534" s="50">
        <v>627.1</v>
      </c>
      <c r="AE534" s="51">
        <v>86.816000000000003</v>
      </c>
      <c r="AF534" s="52">
        <f t="shared" si="252"/>
        <v>6.1400227918497897E-2</v>
      </c>
    </row>
    <row r="535" spans="30:32">
      <c r="AD535" s="50">
        <v>627</v>
      </c>
      <c r="AE535" s="51">
        <v>86.86</v>
      </c>
      <c r="AF535" s="52">
        <f t="shared" si="252"/>
        <v>6.1180174973789685E-2</v>
      </c>
    </row>
    <row r="536" spans="30:32">
      <c r="AD536" s="50">
        <v>626.9</v>
      </c>
      <c r="AE536" s="51">
        <v>86.957999999999998</v>
      </c>
      <c r="AF536" s="52">
        <f t="shared" si="252"/>
        <v>6.0690457410174162E-2</v>
      </c>
    </row>
    <row r="537" spans="30:32">
      <c r="AD537" s="50">
        <v>626.79999999999995</v>
      </c>
      <c r="AE537" s="51">
        <v>87.012</v>
      </c>
      <c r="AF537" s="52">
        <f t="shared" si="252"/>
        <v>6.0420848825062365E-2</v>
      </c>
    </row>
    <row r="538" spans="30:32">
      <c r="AD538" s="50">
        <v>626.70000000000005</v>
      </c>
      <c r="AE538" s="51">
        <v>87.063999999999993</v>
      </c>
      <c r="AF538" s="52">
        <f t="shared" si="252"/>
        <v>6.0161383835854218E-2</v>
      </c>
    </row>
    <row r="539" spans="30:32">
      <c r="AD539" s="50">
        <v>626.6</v>
      </c>
      <c r="AE539" s="51">
        <v>87.126000000000005</v>
      </c>
      <c r="AF539" s="52">
        <f t="shared" si="252"/>
        <v>5.9852224193910522E-2</v>
      </c>
    </row>
    <row r="540" spans="30:32">
      <c r="AD540" s="50">
        <v>626.5</v>
      </c>
      <c r="AE540" s="51">
        <v>87.174999999999997</v>
      </c>
      <c r="AF540" s="52">
        <f t="shared" si="252"/>
        <v>5.9608043951985844E-2</v>
      </c>
    </row>
    <row r="541" spans="30:32">
      <c r="AD541" s="50">
        <v>626.4</v>
      </c>
      <c r="AE541" s="51">
        <v>87.263000000000005</v>
      </c>
      <c r="AF541" s="52">
        <f t="shared" si="252"/>
        <v>5.9169860555597385E-2</v>
      </c>
    </row>
    <row r="542" spans="30:32">
      <c r="AD542" s="50">
        <v>626.29999999999995</v>
      </c>
      <c r="AE542" s="51">
        <v>87.277000000000001</v>
      </c>
      <c r="AF542" s="52">
        <f t="shared" si="252"/>
        <v>5.9100190305113987E-2</v>
      </c>
    </row>
    <row r="543" spans="30:32">
      <c r="AD543" s="50">
        <v>626.20000000000005</v>
      </c>
      <c r="AE543" s="51">
        <v>87.34</v>
      </c>
      <c r="AF543" s="52">
        <f t="shared" si="252"/>
        <v>5.8786812414678667E-2</v>
      </c>
    </row>
    <row r="544" spans="30:32">
      <c r="AD544" s="50">
        <v>626.1</v>
      </c>
      <c r="AE544" s="51">
        <v>87.429000000000002</v>
      </c>
      <c r="AF544" s="52">
        <f t="shared" si="252"/>
        <v>5.8344488979394357E-2</v>
      </c>
    </row>
    <row r="545" spans="30:32">
      <c r="AD545" s="50">
        <v>626</v>
      </c>
      <c r="AE545" s="51">
        <v>87.444999999999993</v>
      </c>
      <c r="AF545" s="52">
        <f t="shared" si="252"/>
        <v>5.8265017911884737E-2</v>
      </c>
    </row>
    <row r="546" spans="30:32">
      <c r="AD546" s="50">
        <v>625.9</v>
      </c>
      <c r="AE546" s="51">
        <v>87.527000000000001</v>
      </c>
      <c r="AF546" s="52">
        <f t="shared" si="252"/>
        <v>5.7857956780695427E-2</v>
      </c>
    </row>
    <row r="547" spans="30:32">
      <c r="AD547" s="50">
        <v>625.79999999999995</v>
      </c>
      <c r="AE547" s="51">
        <v>87.585999999999999</v>
      </c>
      <c r="AF547" s="52">
        <f t="shared" si="252"/>
        <v>5.7565307172706665E-2</v>
      </c>
    </row>
    <row r="548" spans="30:32">
      <c r="AD548" s="50">
        <v>625.70000000000005</v>
      </c>
      <c r="AE548" s="51">
        <v>87.67</v>
      </c>
      <c r="AF548" s="52">
        <f t="shared" si="252"/>
        <v>5.7148993445662592E-2</v>
      </c>
    </row>
    <row r="549" spans="30:32">
      <c r="AD549" s="50">
        <v>625.6</v>
      </c>
      <c r="AE549" s="51">
        <v>87.688999999999993</v>
      </c>
      <c r="AF549" s="52">
        <f t="shared" si="252"/>
        <v>5.7054882562406553E-2</v>
      </c>
    </row>
    <row r="550" spans="30:32">
      <c r="AD550" s="50">
        <v>625.5</v>
      </c>
      <c r="AE550" s="51">
        <v>87.790999999999997</v>
      </c>
      <c r="AF550" s="52">
        <f t="shared" si="252"/>
        <v>5.6550004033308378E-2</v>
      </c>
    </row>
    <row r="551" spans="30:32">
      <c r="AD551" s="50">
        <v>625.4</v>
      </c>
      <c r="AE551" s="51">
        <v>87.765000000000001</v>
      </c>
      <c r="AF551" s="52">
        <f t="shared" si="252"/>
        <v>5.6678642833600454E-2</v>
      </c>
    </row>
    <row r="552" spans="30:32">
      <c r="AD552" s="50">
        <v>625.29999999999995</v>
      </c>
      <c r="AE552" s="51">
        <v>87.811000000000007</v>
      </c>
      <c r="AF552" s="52">
        <f t="shared" si="252"/>
        <v>5.6451077031615615E-2</v>
      </c>
    </row>
    <row r="553" spans="30:32">
      <c r="AD553" s="50">
        <v>625.20000000000005</v>
      </c>
      <c r="AE553" s="51">
        <v>87.813000000000002</v>
      </c>
      <c r="AF553" s="52">
        <f t="shared" si="252"/>
        <v>5.6441185570723654E-2</v>
      </c>
    </row>
    <row r="554" spans="30:32">
      <c r="AD554" s="50">
        <v>625.1</v>
      </c>
      <c r="AE554" s="51">
        <v>87.88</v>
      </c>
      <c r="AF554" s="52">
        <f t="shared" si="252"/>
        <v>5.6109951751527345E-2</v>
      </c>
    </row>
    <row r="555" spans="30:32">
      <c r="AD555" s="50">
        <v>625</v>
      </c>
      <c r="AE555" s="51">
        <v>87.947999999999993</v>
      </c>
      <c r="AF555" s="52">
        <f t="shared" si="252"/>
        <v>5.5774032259276046E-2</v>
      </c>
    </row>
    <row r="556" spans="30:32">
      <c r="AD556" s="50">
        <v>624.9</v>
      </c>
      <c r="AE556" s="51">
        <v>87.978999999999999</v>
      </c>
      <c r="AF556" s="52">
        <f t="shared" si="252"/>
        <v>5.5620978673659914E-2</v>
      </c>
    </row>
    <row r="557" spans="30:32">
      <c r="AD557" s="50">
        <v>624.79999999999995</v>
      </c>
      <c r="AE557" s="51">
        <v>88.03</v>
      </c>
      <c r="AF557" s="52">
        <f t="shared" si="252"/>
        <v>5.5369298143721775E-2</v>
      </c>
    </row>
    <row r="558" spans="30:32">
      <c r="AD558" s="50">
        <v>624.70000000000005</v>
      </c>
      <c r="AE558" s="51">
        <v>88.058000000000007</v>
      </c>
      <c r="AF558" s="52">
        <f t="shared" si="252"/>
        <v>5.5231182592454423E-2</v>
      </c>
    </row>
    <row r="559" spans="30:32">
      <c r="AD559" s="50">
        <v>624.6</v>
      </c>
      <c r="AE559" s="51">
        <v>88.138000000000005</v>
      </c>
      <c r="AF559" s="52">
        <f t="shared" si="252"/>
        <v>5.4836808589188199E-2</v>
      </c>
    </row>
    <row r="560" spans="30:32">
      <c r="AD560" s="50">
        <v>624.5</v>
      </c>
      <c r="AE560" s="51">
        <v>88.183000000000007</v>
      </c>
      <c r="AF560" s="52">
        <f t="shared" si="252"/>
        <v>5.4615130489472696E-2</v>
      </c>
    </row>
    <row r="561" spans="30:32">
      <c r="AD561" s="50">
        <v>624.4</v>
      </c>
      <c r="AE561" s="51">
        <v>88.209000000000003</v>
      </c>
      <c r="AF561" s="52">
        <f t="shared" si="252"/>
        <v>5.4487101365575275E-2</v>
      </c>
    </row>
    <row r="562" spans="30:32">
      <c r="AD562" s="50">
        <v>624.29999999999995</v>
      </c>
      <c r="AE562" s="51">
        <v>88.25</v>
      </c>
      <c r="AF562" s="52">
        <f t="shared" si="252"/>
        <v>5.428528594013985E-2</v>
      </c>
    </row>
    <row r="563" spans="30:32">
      <c r="AD563" s="50">
        <v>624.20000000000005</v>
      </c>
      <c r="AE563" s="51">
        <v>88.287000000000006</v>
      </c>
      <c r="AF563" s="52">
        <f t="shared" si="252"/>
        <v>5.4103240294573078E-2</v>
      </c>
    </row>
    <row r="564" spans="30:32">
      <c r="AD564" s="50">
        <v>624.1</v>
      </c>
      <c r="AE564" s="51">
        <v>88.308999999999997</v>
      </c>
      <c r="AF564" s="52">
        <f t="shared" si="252"/>
        <v>5.3995033102436286E-2</v>
      </c>
    </row>
    <row r="565" spans="30:32">
      <c r="AD565" s="50">
        <v>624</v>
      </c>
      <c r="AE565" s="51">
        <v>88.340999999999994</v>
      </c>
      <c r="AF565" s="52">
        <f t="shared" si="252"/>
        <v>5.3837688935179921E-2</v>
      </c>
    </row>
    <row r="566" spans="30:32">
      <c r="AD566" s="50">
        <v>623.9</v>
      </c>
      <c r="AE566" s="51">
        <v>88.381</v>
      </c>
      <c r="AF566" s="52">
        <f t="shared" si="252"/>
        <v>5.3641088856267338E-2</v>
      </c>
    </row>
    <row r="567" spans="30:32">
      <c r="AD567" s="50">
        <v>623.79999999999995</v>
      </c>
      <c r="AE567" s="51">
        <v>88.4</v>
      </c>
      <c r="AF567" s="52">
        <f t="shared" si="252"/>
        <v>5.3547734986926908E-2</v>
      </c>
    </row>
    <row r="568" spans="30:32">
      <c r="AD568" s="50">
        <v>623.70000000000005</v>
      </c>
      <c r="AE568" s="51">
        <v>88.441999999999993</v>
      </c>
      <c r="AF568" s="52">
        <f t="shared" si="252"/>
        <v>5.3341444981352522E-2</v>
      </c>
    </row>
    <row r="569" spans="30:32">
      <c r="AD569" s="50">
        <v>623.6</v>
      </c>
      <c r="AE569" s="51">
        <v>88.488</v>
      </c>
      <c r="AF569" s="52">
        <f t="shared" si="252"/>
        <v>5.3115620682277452E-2</v>
      </c>
    </row>
    <row r="570" spans="30:32">
      <c r="AD570" s="50">
        <v>623.5</v>
      </c>
      <c r="AE570" s="51">
        <v>88.474000000000004</v>
      </c>
      <c r="AF570" s="52">
        <f t="shared" si="252"/>
        <v>5.3184337387099129E-2</v>
      </c>
    </row>
    <row r="571" spans="30:32">
      <c r="AD571" s="50">
        <v>623.4</v>
      </c>
      <c r="AE571" s="51">
        <v>88.507999999999996</v>
      </c>
      <c r="AF571" s="52">
        <f t="shared" si="252"/>
        <v>5.3017472818201065E-2</v>
      </c>
    </row>
    <row r="572" spans="30:32">
      <c r="AD572" s="50">
        <v>623.29999999999995</v>
      </c>
      <c r="AE572" s="51">
        <v>88.563000000000002</v>
      </c>
      <c r="AF572" s="52">
        <f t="shared" si="252"/>
        <v>5.27476805058196E-2</v>
      </c>
    </row>
    <row r="573" spans="30:32">
      <c r="AD573" s="50">
        <v>623.20000000000005</v>
      </c>
      <c r="AE573" s="51">
        <v>88.590999999999994</v>
      </c>
      <c r="AF573" s="52">
        <f t="shared" si="252"/>
        <v>5.2610396046032661E-2</v>
      </c>
    </row>
    <row r="574" spans="30:32">
      <c r="AD574" s="50">
        <v>623.1</v>
      </c>
      <c r="AE574" s="51">
        <v>88.594999999999999</v>
      </c>
      <c r="AF574" s="52">
        <f t="shared" si="252"/>
        <v>5.2590787522470865E-2</v>
      </c>
    </row>
    <row r="575" spans="30:32">
      <c r="AD575" s="50">
        <v>623</v>
      </c>
      <c r="AE575" s="51">
        <v>88.715000000000003</v>
      </c>
      <c r="AF575" s="52">
        <f t="shared" si="252"/>
        <v>5.2002943116794639E-2</v>
      </c>
    </row>
    <row r="576" spans="30:32">
      <c r="AD576" s="50">
        <v>622.9</v>
      </c>
      <c r="AE576" s="51">
        <v>88.691000000000003</v>
      </c>
      <c r="AF576" s="52">
        <f t="shared" si="252"/>
        <v>5.2120448360464686E-2</v>
      </c>
    </row>
    <row r="577" spans="30:32">
      <c r="AD577" s="50">
        <v>622.79999999999995</v>
      </c>
      <c r="AE577" s="51">
        <v>88.691999999999993</v>
      </c>
      <c r="AF577" s="52">
        <f t="shared" si="252"/>
        <v>5.2115551673838509E-2</v>
      </c>
    </row>
    <row r="578" spans="30:32">
      <c r="AD578" s="50">
        <v>622.70000000000005</v>
      </c>
      <c r="AE578" s="51">
        <v>88.706000000000003</v>
      </c>
      <c r="AF578" s="52">
        <f t="shared" si="252"/>
        <v>5.2047003857524074E-2</v>
      </c>
    </row>
    <row r="579" spans="30:32">
      <c r="AD579" s="50">
        <v>622.6</v>
      </c>
      <c r="AE579" s="51">
        <v>88.713999999999999</v>
      </c>
      <c r="AF579" s="52">
        <f t="shared" si="252"/>
        <v>5.2007838533912533E-2</v>
      </c>
    </row>
    <row r="580" spans="30:32">
      <c r="AD580" s="50">
        <v>622.5</v>
      </c>
      <c r="AE580" s="51">
        <v>88.784999999999997</v>
      </c>
      <c r="AF580" s="52">
        <f t="shared" si="252"/>
        <v>5.1660400972465173E-2</v>
      </c>
    </row>
    <row r="581" spans="30:32">
      <c r="AD581" s="50">
        <v>622.4</v>
      </c>
      <c r="AE581" s="51">
        <v>88.808999999999997</v>
      </c>
      <c r="AF581" s="52">
        <f t="shared" ref="AF581:AF644" si="253">-LOG(AE581/100)</f>
        <v>5.1543020119180376E-2</v>
      </c>
    </row>
    <row r="582" spans="30:32">
      <c r="AD582" s="50">
        <v>622.29999999999995</v>
      </c>
      <c r="AE582" s="51">
        <v>88.847999999999999</v>
      </c>
      <c r="AF582" s="52">
        <f t="shared" si="253"/>
        <v>5.1352343871508693E-2</v>
      </c>
    </row>
    <row r="583" spans="30:32">
      <c r="AD583" s="50">
        <v>622.20000000000005</v>
      </c>
      <c r="AE583" s="51">
        <v>88.831000000000003</v>
      </c>
      <c r="AF583" s="52">
        <f t="shared" si="253"/>
        <v>5.1435448866639005E-2</v>
      </c>
    </row>
    <row r="584" spans="30:32">
      <c r="AD584" s="50">
        <v>622.1</v>
      </c>
      <c r="AE584" s="51">
        <v>88.828000000000003</v>
      </c>
      <c r="AF584" s="52">
        <f t="shared" si="253"/>
        <v>5.1450116104953217E-2</v>
      </c>
    </row>
    <row r="585" spans="30:32">
      <c r="AD585" s="50">
        <v>622</v>
      </c>
      <c r="AE585" s="51">
        <v>88.864000000000004</v>
      </c>
      <c r="AF585" s="52">
        <f t="shared" si="253"/>
        <v>5.1274141929836391E-2</v>
      </c>
    </row>
    <row r="586" spans="30:32">
      <c r="AD586" s="50">
        <v>621.9</v>
      </c>
      <c r="AE586" s="51">
        <v>88.924999999999997</v>
      </c>
      <c r="AF586" s="52">
        <f t="shared" si="253"/>
        <v>5.0976126142182061E-2</v>
      </c>
    </row>
    <row r="587" spans="30:32">
      <c r="AD587" s="50">
        <v>621.79999999999995</v>
      </c>
      <c r="AE587" s="51">
        <v>89.043999999999997</v>
      </c>
      <c r="AF587" s="52">
        <f t="shared" si="253"/>
        <v>5.0395339027024956E-2</v>
      </c>
    </row>
    <row r="588" spans="30:32">
      <c r="AD588" s="50">
        <v>621.70000000000005</v>
      </c>
      <c r="AE588" s="51">
        <v>89.037999999999997</v>
      </c>
      <c r="AF588" s="52">
        <f t="shared" si="253"/>
        <v>5.0424603825178708E-2</v>
      </c>
    </row>
    <row r="589" spans="30:32">
      <c r="AD589" s="50">
        <v>621.6</v>
      </c>
      <c r="AE589" s="51">
        <v>89.009</v>
      </c>
      <c r="AF589" s="52">
        <f t="shared" si="253"/>
        <v>5.0566078155962882E-2</v>
      </c>
    </row>
    <row r="590" spans="30:32">
      <c r="AD590" s="50">
        <v>621.5</v>
      </c>
      <c r="AE590" s="51">
        <v>88.998000000000005</v>
      </c>
      <c r="AF590" s="52">
        <f t="shared" si="253"/>
        <v>5.0619752891304964E-2</v>
      </c>
    </row>
    <row r="591" spans="30:32">
      <c r="AD591" s="50">
        <v>621.4</v>
      </c>
      <c r="AE591" s="51">
        <v>89.05</v>
      </c>
      <c r="AF591" s="52">
        <f t="shared" si="253"/>
        <v>5.0366076200737679E-2</v>
      </c>
    </row>
    <row r="592" spans="30:32">
      <c r="AD592" s="50">
        <v>621.29999999999995</v>
      </c>
      <c r="AE592" s="51">
        <v>89.100999999999999</v>
      </c>
      <c r="AF592" s="52">
        <f t="shared" si="253"/>
        <v>5.0117421753868178E-2</v>
      </c>
    </row>
    <row r="593" spans="30:32">
      <c r="AD593" s="50">
        <v>621.20000000000005</v>
      </c>
      <c r="AE593" s="51">
        <v>89.174999999999997</v>
      </c>
      <c r="AF593" s="52">
        <f t="shared" si="253"/>
        <v>4.9756881989608405E-2</v>
      </c>
    </row>
    <row r="594" spans="30:32">
      <c r="AD594" s="50">
        <v>621.1</v>
      </c>
      <c r="AE594" s="51">
        <v>89.191000000000003</v>
      </c>
      <c r="AF594" s="52">
        <f t="shared" si="253"/>
        <v>4.9678966784590724E-2</v>
      </c>
    </row>
    <row r="595" spans="30:32">
      <c r="AD595" s="50">
        <v>621</v>
      </c>
      <c r="AE595" s="51">
        <v>89.201999999999998</v>
      </c>
      <c r="AF595" s="52">
        <f t="shared" si="253"/>
        <v>4.9625408188603289E-2</v>
      </c>
    </row>
    <row r="596" spans="30:32">
      <c r="AD596" s="50">
        <v>620.9</v>
      </c>
      <c r="AE596" s="51">
        <v>89.212999999999994</v>
      </c>
      <c r="AF596" s="52">
        <f t="shared" si="253"/>
        <v>4.9571856196820238E-2</v>
      </c>
    </row>
    <row r="597" spans="30:32">
      <c r="AD597" s="50">
        <v>620.79999999999995</v>
      </c>
      <c r="AE597" s="51">
        <v>89.183000000000007</v>
      </c>
      <c r="AF597" s="52">
        <f t="shared" si="253"/>
        <v>4.9717922639788782E-2</v>
      </c>
    </row>
    <row r="598" spans="30:32">
      <c r="AD598" s="50">
        <v>620.70000000000005</v>
      </c>
      <c r="AE598" s="51">
        <v>89.238</v>
      </c>
      <c r="AF598" s="52">
        <f t="shared" si="253"/>
        <v>4.9450171677051673E-2</v>
      </c>
    </row>
    <row r="599" spans="30:32">
      <c r="AD599" s="50">
        <v>620.6</v>
      </c>
      <c r="AE599" s="51">
        <v>89.239000000000004</v>
      </c>
      <c r="AF599" s="52">
        <f t="shared" si="253"/>
        <v>4.9445305005358278E-2</v>
      </c>
    </row>
    <row r="600" spans="30:32">
      <c r="AD600" s="50">
        <v>620.5</v>
      </c>
      <c r="AE600" s="51">
        <v>89.304000000000002</v>
      </c>
      <c r="AF600" s="52">
        <f t="shared" si="253"/>
        <v>4.9129088266859883E-2</v>
      </c>
    </row>
    <row r="601" spans="30:32">
      <c r="AD601" s="50">
        <v>620.4</v>
      </c>
      <c r="AE601" s="51">
        <v>89.251999999999995</v>
      </c>
      <c r="AF601" s="52">
        <f t="shared" si="253"/>
        <v>4.9382043235580264E-2</v>
      </c>
    </row>
    <row r="602" spans="30:32">
      <c r="AD602" s="50">
        <v>620.29999999999995</v>
      </c>
      <c r="AE602" s="51">
        <v>89.228999999999999</v>
      </c>
      <c r="AF602" s="52">
        <f t="shared" si="253"/>
        <v>4.9493974176566306E-2</v>
      </c>
    </row>
    <row r="603" spans="30:32">
      <c r="AD603" s="50">
        <v>620.20000000000005</v>
      </c>
      <c r="AE603" s="51">
        <v>89.251000000000005</v>
      </c>
      <c r="AF603" s="52">
        <f t="shared" si="253"/>
        <v>4.9386909198414569E-2</v>
      </c>
    </row>
    <row r="604" spans="30:32">
      <c r="AD604" s="50">
        <v>620.1</v>
      </c>
      <c r="AE604" s="51">
        <v>89.308000000000007</v>
      </c>
      <c r="AF604" s="52">
        <f t="shared" si="253"/>
        <v>4.9109636293555678E-2</v>
      </c>
    </row>
    <row r="605" spans="30:32">
      <c r="AD605" s="50">
        <v>620</v>
      </c>
      <c r="AE605" s="51">
        <v>89.337999999999994</v>
      </c>
      <c r="AF605" s="52">
        <f t="shared" si="253"/>
        <v>4.8963774258250506E-2</v>
      </c>
    </row>
    <row r="606" spans="30:32">
      <c r="AD606" s="50">
        <v>619.9</v>
      </c>
      <c r="AE606" s="51">
        <v>89.415999999999997</v>
      </c>
      <c r="AF606" s="52">
        <f t="shared" si="253"/>
        <v>4.8584762076834272E-2</v>
      </c>
    </row>
    <row r="607" spans="30:32">
      <c r="AD607" s="50">
        <v>619.79999999999995</v>
      </c>
      <c r="AE607" s="51">
        <v>89.447000000000003</v>
      </c>
      <c r="AF607" s="52">
        <f t="shared" si="253"/>
        <v>4.8434220834947382E-2</v>
      </c>
    </row>
    <row r="608" spans="30:32">
      <c r="AD608" s="50">
        <v>619.70000000000005</v>
      </c>
      <c r="AE608" s="51">
        <v>89.414000000000001</v>
      </c>
      <c r="AF608" s="52">
        <f t="shared" si="253"/>
        <v>4.8594476207168544E-2</v>
      </c>
    </row>
    <row r="609" spans="30:32">
      <c r="AD609" s="50">
        <v>619.6</v>
      </c>
      <c r="AE609" s="51">
        <v>89.438999999999993</v>
      </c>
      <c r="AF609" s="52">
        <f t="shared" si="253"/>
        <v>4.8473065192331924E-2</v>
      </c>
    </row>
    <row r="610" spans="30:32">
      <c r="AD610" s="50">
        <v>619.5</v>
      </c>
      <c r="AE610" s="51">
        <v>89.394000000000005</v>
      </c>
      <c r="AF610" s="52">
        <f t="shared" si="253"/>
        <v>4.8691629462887374E-2</v>
      </c>
    </row>
    <row r="611" spans="30:32">
      <c r="AD611" s="50">
        <v>619.4</v>
      </c>
      <c r="AE611" s="51">
        <v>89.433000000000007</v>
      </c>
      <c r="AF611" s="52">
        <f t="shared" si="253"/>
        <v>4.8502200740571891E-2</v>
      </c>
    </row>
    <row r="612" spans="30:32">
      <c r="AD612" s="50">
        <v>619.29999999999995</v>
      </c>
      <c r="AE612" s="51">
        <v>89.5</v>
      </c>
      <c r="AF612" s="52">
        <f t="shared" si="253"/>
        <v>4.8176964684088018E-2</v>
      </c>
    </row>
    <row r="613" spans="30:32">
      <c r="AD613" s="50">
        <v>619.20000000000005</v>
      </c>
      <c r="AE613" s="51">
        <v>89.503</v>
      </c>
      <c r="AF613" s="52">
        <f t="shared" si="253"/>
        <v>4.8162407571125325E-2</v>
      </c>
    </row>
    <row r="614" spans="30:32">
      <c r="AD614" s="50">
        <v>619.1</v>
      </c>
      <c r="AE614" s="51">
        <v>89.552000000000007</v>
      </c>
      <c r="AF614" s="52">
        <f t="shared" si="253"/>
        <v>4.7924710437345329E-2</v>
      </c>
    </row>
    <row r="615" spans="30:32">
      <c r="AD615" s="50">
        <v>619</v>
      </c>
      <c r="AE615" s="51">
        <v>89.549000000000007</v>
      </c>
      <c r="AF615" s="52">
        <f t="shared" si="253"/>
        <v>4.7939259584986384E-2</v>
      </c>
    </row>
    <row r="616" spans="30:32">
      <c r="AD616" s="50">
        <v>618.9</v>
      </c>
      <c r="AE616" s="51">
        <v>89.572999999999993</v>
      </c>
      <c r="AF616" s="52">
        <f t="shared" si="253"/>
        <v>4.7822880048937852E-2</v>
      </c>
    </row>
    <row r="617" spans="30:32">
      <c r="AD617" s="50">
        <v>618.79999999999995</v>
      </c>
      <c r="AE617" s="51">
        <v>89.566000000000003</v>
      </c>
      <c r="AF617" s="52">
        <f t="shared" si="253"/>
        <v>4.7856820858866077E-2</v>
      </c>
    </row>
    <row r="618" spans="30:32">
      <c r="AD618" s="50">
        <v>618.70000000000005</v>
      </c>
      <c r="AE618" s="51">
        <v>89.578999999999994</v>
      </c>
      <c r="AF618" s="52">
        <f t="shared" si="253"/>
        <v>4.7793790037189213E-2</v>
      </c>
    </row>
    <row r="619" spans="30:32">
      <c r="AD619" s="50">
        <v>618.6</v>
      </c>
      <c r="AE619" s="51">
        <v>89.647000000000006</v>
      </c>
      <c r="AF619" s="52">
        <f t="shared" si="253"/>
        <v>4.7464239344918162E-2</v>
      </c>
    </row>
    <row r="620" spans="30:32">
      <c r="AD620" s="50">
        <v>618.5</v>
      </c>
      <c r="AE620" s="51">
        <v>89.641999999999996</v>
      </c>
      <c r="AF620" s="52">
        <f t="shared" si="253"/>
        <v>4.7488462497594391E-2</v>
      </c>
    </row>
    <row r="621" spans="30:32">
      <c r="AD621" s="50">
        <v>618.4</v>
      </c>
      <c r="AE621" s="51">
        <v>89.667000000000002</v>
      </c>
      <c r="AF621" s="52">
        <f t="shared" si="253"/>
        <v>4.7367360242627457E-2</v>
      </c>
    </row>
    <row r="622" spans="30:32">
      <c r="AD622" s="50">
        <v>618.29999999999995</v>
      </c>
      <c r="AE622" s="51">
        <v>89.611000000000004</v>
      </c>
      <c r="AF622" s="52">
        <f t="shared" si="253"/>
        <v>4.7638676207526348E-2</v>
      </c>
    </row>
    <row r="623" spans="30:32">
      <c r="AD623" s="50">
        <v>618.20000000000005</v>
      </c>
      <c r="AE623" s="51">
        <v>89.626999999999995</v>
      </c>
      <c r="AF623" s="52">
        <f t="shared" si="253"/>
        <v>4.7561140063082631E-2</v>
      </c>
    </row>
    <row r="624" spans="30:32">
      <c r="AD624" s="50">
        <v>618.1</v>
      </c>
      <c r="AE624" s="51">
        <v>89.665000000000006</v>
      </c>
      <c r="AF624" s="52">
        <f t="shared" si="253"/>
        <v>4.737704718041702E-2</v>
      </c>
    </row>
    <row r="625" spans="30:32">
      <c r="AD625" s="50">
        <v>618</v>
      </c>
      <c r="AE625" s="51">
        <v>89.730999999999995</v>
      </c>
      <c r="AF625" s="52">
        <f t="shared" si="253"/>
        <v>4.7057492261702881E-2</v>
      </c>
    </row>
    <row r="626" spans="30:32">
      <c r="AD626" s="50">
        <v>617.9</v>
      </c>
      <c r="AE626" s="51">
        <v>89.814999999999998</v>
      </c>
      <c r="AF626" s="52">
        <f t="shared" si="253"/>
        <v>4.6651125769087989E-2</v>
      </c>
    </row>
    <row r="627" spans="30:32">
      <c r="AD627" s="50">
        <v>617.79999999999995</v>
      </c>
      <c r="AE627" s="51">
        <v>89.781000000000006</v>
      </c>
      <c r="AF627" s="52">
        <f t="shared" si="253"/>
        <v>4.6815561642505096E-2</v>
      </c>
    </row>
    <row r="628" spans="30:32">
      <c r="AD628" s="50">
        <v>617.70000000000005</v>
      </c>
      <c r="AE628" s="51">
        <v>89.731999999999999</v>
      </c>
      <c r="AF628" s="52">
        <f t="shared" si="253"/>
        <v>4.7052652328324854E-2</v>
      </c>
    </row>
    <row r="629" spans="30:32">
      <c r="AD629" s="50">
        <v>617.6</v>
      </c>
      <c r="AE629" s="51">
        <v>89.688999999999993</v>
      </c>
      <c r="AF629" s="52">
        <f t="shared" si="253"/>
        <v>4.7260818184934494E-2</v>
      </c>
    </row>
    <row r="630" spans="30:32">
      <c r="AD630" s="50">
        <v>617.5</v>
      </c>
      <c r="AE630" s="51">
        <v>89.673000000000002</v>
      </c>
      <c r="AF630" s="52">
        <f t="shared" si="253"/>
        <v>4.7338300725593953E-2</v>
      </c>
    </row>
    <row r="631" spans="30:32">
      <c r="AD631" s="50">
        <v>617.4</v>
      </c>
      <c r="AE631" s="51">
        <v>89.697999999999993</v>
      </c>
      <c r="AF631" s="52">
        <f t="shared" si="253"/>
        <v>4.7217240329901461E-2</v>
      </c>
    </row>
    <row r="632" spans="30:32">
      <c r="AD632" s="50">
        <v>617.29999999999995</v>
      </c>
      <c r="AE632" s="51">
        <v>89.775999999999996</v>
      </c>
      <c r="AF632" s="52">
        <f t="shared" si="253"/>
        <v>4.6839748640618031E-2</v>
      </c>
    </row>
    <row r="633" spans="30:32">
      <c r="AD633" s="50">
        <v>617.20000000000005</v>
      </c>
      <c r="AE633" s="51">
        <v>89.781000000000006</v>
      </c>
      <c r="AF633" s="52">
        <f t="shared" si="253"/>
        <v>4.6815561642505096E-2</v>
      </c>
    </row>
    <row r="634" spans="30:32">
      <c r="AD634" s="50">
        <v>617.1</v>
      </c>
      <c r="AE634" s="51">
        <v>89.781000000000006</v>
      </c>
      <c r="AF634" s="52">
        <f t="shared" si="253"/>
        <v>4.6815561642505096E-2</v>
      </c>
    </row>
    <row r="635" spans="30:32">
      <c r="AD635" s="50">
        <v>617</v>
      </c>
      <c r="AE635" s="51">
        <v>89.753</v>
      </c>
      <c r="AF635" s="52">
        <f t="shared" si="253"/>
        <v>4.6951026185064006E-2</v>
      </c>
    </row>
    <row r="636" spans="30:32">
      <c r="AD636" s="50">
        <v>616.9</v>
      </c>
      <c r="AE636" s="51">
        <v>89.774000000000001</v>
      </c>
      <c r="AF636" s="52">
        <f t="shared" si="253"/>
        <v>4.6849423817046244E-2</v>
      </c>
    </row>
    <row r="637" spans="30:32">
      <c r="AD637" s="50">
        <v>616.79999999999995</v>
      </c>
      <c r="AE637" s="51">
        <v>89.8</v>
      </c>
      <c r="AF637" s="52">
        <f t="shared" si="253"/>
        <v>4.672366333269562E-2</v>
      </c>
    </row>
    <row r="638" spans="30:32">
      <c r="AD638" s="50">
        <v>616.70000000000005</v>
      </c>
      <c r="AE638" s="51">
        <v>89.896000000000001</v>
      </c>
      <c r="AF638" s="52">
        <f t="shared" si="253"/>
        <v>4.6259632144142256E-2</v>
      </c>
    </row>
    <row r="639" spans="30:32">
      <c r="AD639" s="50">
        <v>616.6</v>
      </c>
      <c r="AE639" s="51">
        <v>89.926000000000002</v>
      </c>
      <c r="AF639" s="52">
        <f t="shared" si="253"/>
        <v>4.6114724017461681E-2</v>
      </c>
    </row>
    <row r="640" spans="30:32">
      <c r="AD640" s="50">
        <v>616.5</v>
      </c>
      <c r="AE640" s="51">
        <v>89.927999999999997</v>
      </c>
      <c r="AF640" s="52">
        <f t="shared" si="253"/>
        <v>4.6105065194596041E-2</v>
      </c>
    </row>
    <row r="641" spans="30:32">
      <c r="AD641" s="50">
        <v>616.4</v>
      </c>
      <c r="AE641" s="51">
        <v>89.887</v>
      </c>
      <c r="AF641" s="52">
        <f t="shared" si="253"/>
        <v>4.6303114012176398E-2</v>
      </c>
    </row>
    <row r="642" spans="30:32">
      <c r="AD642" s="50">
        <v>616.29999999999995</v>
      </c>
      <c r="AE642" s="51">
        <v>89.933000000000007</v>
      </c>
      <c r="AF642" s="52">
        <f t="shared" si="253"/>
        <v>4.6080919077204498E-2</v>
      </c>
    </row>
    <row r="643" spans="30:32">
      <c r="AD643" s="50">
        <v>616.20000000000005</v>
      </c>
      <c r="AE643" s="51">
        <v>89.903000000000006</v>
      </c>
      <c r="AF643" s="52">
        <f t="shared" si="253"/>
        <v>4.6225815922974575E-2</v>
      </c>
    </row>
    <row r="644" spans="30:32">
      <c r="AD644" s="50">
        <v>616.1</v>
      </c>
      <c r="AE644" s="51">
        <v>89.896000000000001</v>
      </c>
      <c r="AF644" s="52">
        <f t="shared" si="253"/>
        <v>4.6259632144142256E-2</v>
      </c>
    </row>
    <row r="645" spans="30:32">
      <c r="AD645" s="50">
        <v>616</v>
      </c>
      <c r="AE645" s="51">
        <v>89.944000000000003</v>
      </c>
      <c r="AF645" s="52">
        <f t="shared" ref="AF645:AF708" si="254">-LOG(AE645/100)</f>
        <v>4.6027802344026959E-2</v>
      </c>
    </row>
    <row r="646" spans="30:32">
      <c r="AD646" s="50">
        <v>615.9</v>
      </c>
      <c r="AE646" s="51">
        <v>89.953999999999994</v>
      </c>
      <c r="AF646" s="52">
        <f t="shared" si="254"/>
        <v>4.5979520041572228E-2</v>
      </c>
    </row>
    <row r="647" spans="30:32">
      <c r="AD647" s="50">
        <v>615.79999999999995</v>
      </c>
      <c r="AE647" s="51">
        <v>89.971000000000004</v>
      </c>
      <c r="AF647" s="52">
        <f t="shared" si="254"/>
        <v>4.5897452444358611E-2</v>
      </c>
    </row>
    <row r="648" spans="30:32">
      <c r="AD648" s="50">
        <v>615.70000000000005</v>
      </c>
      <c r="AE648" s="51">
        <v>89.93</v>
      </c>
      <c r="AF648" s="52">
        <f t="shared" si="254"/>
        <v>4.6095406586540266E-2</v>
      </c>
    </row>
    <row r="649" spans="30:32">
      <c r="AD649" s="50">
        <v>615.6</v>
      </c>
      <c r="AE649" s="51">
        <v>89.924999999999997</v>
      </c>
      <c r="AF649" s="52">
        <f t="shared" si="254"/>
        <v>4.611955350945128E-2</v>
      </c>
    </row>
    <row r="650" spans="30:32">
      <c r="AD650" s="50">
        <v>615.5</v>
      </c>
      <c r="AE650" s="51">
        <v>89.95</v>
      </c>
      <c r="AF650" s="52">
        <f t="shared" si="254"/>
        <v>4.5998832318429793E-2</v>
      </c>
    </row>
    <row r="651" spans="30:32">
      <c r="AD651" s="50">
        <v>615.4</v>
      </c>
      <c r="AE651" s="51">
        <v>89.971000000000004</v>
      </c>
      <c r="AF651" s="52">
        <f t="shared" si="254"/>
        <v>4.5897452444358611E-2</v>
      </c>
    </row>
    <row r="652" spans="30:32">
      <c r="AD652" s="50">
        <v>615.29999999999995</v>
      </c>
      <c r="AE652" s="51">
        <v>90.022000000000006</v>
      </c>
      <c r="AF652" s="52">
        <f t="shared" si="254"/>
        <v>4.5651342660424747E-2</v>
      </c>
    </row>
    <row r="653" spans="30:32">
      <c r="AD653" s="50">
        <v>615.20000000000005</v>
      </c>
      <c r="AE653" s="51">
        <v>90.019000000000005</v>
      </c>
      <c r="AF653" s="52">
        <f t="shared" si="254"/>
        <v>4.5665815846486026E-2</v>
      </c>
    </row>
    <row r="654" spans="30:32">
      <c r="AD654" s="50">
        <v>615.1</v>
      </c>
      <c r="AE654" s="51">
        <v>90.004999999999995</v>
      </c>
      <c r="AF654" s="52">
        <f t="shared" si="254"/>
        <v>4.5733363759641037E-2</v>
      </c>
    </row>
    <row r="655" spans="30:32">
      <c r="AD655" s="50">
        <v>615</v>
      </c>
      <c r="AE655" s="51">
        <v>89.921000000000006</v>
      </c>
      <c r="AF655" s="52">
        <f t="shared" si="254"/>
        <v>4.6138872014482211E-2</v>
      </c>
    </row>
    <row r="656" spans="30:32">
      <c r="AD656" s="50">
        <v>614.9</v>
      </c>
      <c r="AE656" s="51">
        <v>89.906999999999996</v>
      </c>
      <c r="AF656" s="52">
        <f t="shared" si="254"/>
        <v>4.620649355016003E-2</v>
      </c>
    </row>
    <row r="657" spans="30:32">
      <c r="AD657" s="50">
        <v>614.79999999999995</v>
      </c>
      <c r="AE657" s="51">
        <v>89.938000000000002</v>
      </c>
      <c r="AF657" s="52">
        <f t="shared" si="254"/>
        <v>4.6056774302226038E-2</v>
      </c>
    </row>
    <row r="658" spans="30:32">
      <c r="AD658" s="50">
        <v>614.70000000000005</v>
      </c>
      <c r="AE658" s="51">
        <v>89.997</v>
      </c>
      <c r="AF658" s="52">
        <f t="shared" si="254"/>
        <v>4.5771967284685286E-2</v>
      </c>
    </row>
    <row r="659" spans="30:32">
      <c r="AD659" s="50">
        <v>614.6</v>
      </c>
      <c r="AE659" s="51">
        <v>90.024000000000001</v>
      </c>
      <c r="AF659" s="52">
        <f t="shared" si="254"/>
        <v>4.5641694137671197E-2</v>
      </c>
    </row>
    <row r="660" spans="30:32">
      <c r="AD660" s="50">
        <v>614.5</v>
      </c>
      <c r="AE660" s="51">
        <v>90.02</v>
      </c>
      <c r="AF660" s="52">
        <f t="shared" si="254"/>
        <v>4.5660991397539902E-2</v>
      </c>
    </row>
    <row r="661" spans="30:32">
      <c r="AD661" s="50">
        <v>614.4</v>
      </c>
      <c r="AE661" s="51">
        <v>89.960999999999999</v>
      </c>
      <c r="AF661" s="52">
        <f t="shared" si="254"/>
        <v>4.5945725623376281E-2</v>
      </c>
    </row>
    <row r="662" spans="30:32">
      <c r="AD662" s="50">
        <v>614.29999999999995</v>
      </c>
      <c r="AE662" s="51">
        <v>89.962999999999994</v>
      </c>
      <c r="AF662" s="52">
        <f t="shared" si="254"/>
        <v>4.5936070558306154E-2</v>
      </c>
    </row>
    <row r="663" spans="30:32">
      <c r="AD663" s="50">
        <v>614.20000000000005</v>
      </c>
      <c r="AE663" s="51">
        <v>90.022999999999996</v>
      </c>
      <c r="AF663" s="52">
        <f t="shared" si="254"/>
        <v>4.5646518372253392E-2</v>
      </c>
    </row>
    <row r="664" spans="30:32">
      <c r="AD664" s="50">
        <v>614.1</v>
      </c>
      <c r="AE664" s="51">
        <v>90.067999999999998</v>
      </c>
      <c r="AF664" s="52">
        <f t="shared" si="254"/>
        <v>4.5429480851306943E-2</v>
      </c>
    </row>
    <row r="665" spans="30:32">
      <c r="AD665" s="50">
        <v>614</v>
      </c>
      <c r="AE665" s="51">
        <v>90.048000000000002</v>
      </c>
      <c r="AF665" s="52">
        <f t="shared" si="254"/>
        <v>4.5525928581367101E-2</v>
      </c>
    </row>
    <row r="666" spans="30:32">
      <c r="AD666" s="50">
        <v>613.9</v>
      </c>
      <c r="AE666" s="51">
        <v>90.096999999999994</v>
      </c>
      <c r="AF666" s="52">
        <f t="shared" si="254"/>
        <v>4.5289669677283498E-2</v>
      </c>
    </row>
    <row r="667" spans="30:32">
      <c r="AD667" s="50">
        <v>613.79999999999995</v>
      </c>
      <c r="AE667" s="51">
        <v>90.054000000000002</v>
      </c>
      <c r="AF667" s="52">
        <f t="shared" si="254"/>
        <v>4.5496992013284776E-2</v>
      </c>
    </row>
    <row r="668" spans="30:32">
      <c r="AD668" s="50">
        <v>613.70000000000005</v>
      </c>
      <c r="AE668" s="51">
        <v>90.07</v>
      </c>
      <c r="AF668" s="52">
        <f t="shared" si="254"/>
        <v>4.5419837256242677E-2</v>
      </c>
    </row>
    <row r="669" spans="30:32">
      <c r="AD669" s="50">
        <v>613.6</v>
      </c>
      <c r="AE669" s="51">
        <v>90.049000000000007</v>
      </c>
      <c r="AF669" s="52">
        <f t="shared" si="254"/>
        <v>4.5521105686128355E-2</v>
      </c>
    </row>
    <row r="670" spans="30:32">
      <c r="AD670" s="50">
        <v>613.5</v>
      </c>
      <c r="AE670" s="51">
        <v>90.096999999999994</v>
      </c>
      <c r="AF670" s="52">
        <f t="shared" si="254"/>
        <v>4.5289669677283498E-2</v>
      </c>
    </row>
    <row r="671" spans="30:32">
      <c r="AD671" s="50">
        <v>613.4</v>
      </c>
      <c r="AE671" s="51">
        <v>90.106999999999999</v>
      </c>
      <c r="AF671" s="52">
        <f t="shared" si="254"/>
        <v>4.524146936182441E-2</v>
      </c>
    </row>
    <row r="672" spans="30:32">
      <c r="AD672" s="50">
        <v>613.29999999999995</v>
      </c>
      <c r="AE672" s="51">
        <v>90.087000000000003</v>
      </c>
      <c r="AF672" s="52">
        <f t="shared" si="254"/>
        <v>4.5337875342864084E-2</v>
      </c>
    </row>
    <row r="673" spans="30:32">
      <c r="AD673" s="50">
        <v>613.20000000000005</v>
      </c>
      <c r="AE673" s="51">
        <v>90.093999999999994</v>
      </c>
      <c r="AF673" s="52">
        <f t="shared" si="254"/>
        <v>4.5304130815140876E-2</v>
      </c>
    </row>
    <row r="674" spans="30:32">
      <c r="AD674" s="50">
        <v>613.1</v>
      </c>
      <c r="AE674" s="51">
        <v>90.066999999999993</v>
      </c>
      <c r="AF674" s="52">
        <f t="shared" si="254"/>
        <v>4.5434302729141965E-2</v>
      </c>
    </row>
    <row r="675" spans="30:32">
      <c r="AD675" s="50">
        <v>613</v>
      </c>
      <c r="AE675" s="51">
        <v>90.093000000000004</v>
      </c>
      <c r="AF675" s="52">
        <f t="shared" si="254"/>
        <v>4.530895130143462E-2</v>
      </c>
    </row>
    <row r="676" spans="30:32">
      <c r="AD676" s="50">
        <v>612.9</v>
      </c>
      <c r="AE676" s="51">
        <v>90.088999999999999</v>
      </c>
      <c r="AF676" s="52">
        <f t="shared" si="254"/>
        <v>4.5328233781681264E-2</v>
      </c>
    </row>
    <row r="677" spans="30:32">
      <c r="AD677" s="50">
        <v>612.79999999999995</v>
      </c>
      <c r="AE677" s="51">
        <v>90.093999999999994</v>
      </c>
      <c r="AF677" s="52">
        <f t="shared" si="254"/>
        <v>4.5304130815140876E-2</v>
      </c>
    </row>
    <row r="678" spans="30:32">
      <c r="AD678" s="50">
        <v>612.70000000000005</v>
      </c>
      <c r="AE678" s="51">
        <v>90.119</v>
      </c>
      <c r="AF678" s="52">
        <f t="shared" si="254"/>
        <v>4.5183636043762195E-2</v>
      </c>
    </row>
    <row r="679" spans="30:32">
      <c r="AD679" s="50">
        <v>612.6</v>
      </c>
      <c r="AE679" s="51">
        <v>90.132999999999996</v>
      </c>
      <c r="AF679" s="52">
        <f t="shared" si="254"/>
        <v>4.5116173571680129E-2</v>
      </c>
    </row>
    <row r="680" spans="30:32">
      <c r="AD680" s="50">
        <v>612.5</v>
      </c>
      <c r="AE680" s="51">
        <v>90.153000000000006</v>
      </c>
      <c r="AF680" s="52">
        <f t="shared" si="254"/>
        <v>4.5019816786641909E-2</v>
      </c>
    </row>
    <row r="681" spans="30:32">
      <c r="AD681" s="50">
        <v>612.4</v>
      </c>
      <c r="AE681" s="51">
        <v>90.075000000000003</v>
      </c>
      <c r="AF681" s="52">
        <f t="shared" si="254"/>
        <v>4.5395729205393878E-2</v>
      </c>
    </row>
    <row r="682" spans="30:32">
      <c r="AD682" s="50">
        <v>612.29999999999995</v>
      </c>
      <c r="AE682" s="51">
        <v>90.064999999999998</v>
      </c>
      <c r="AF682" s="52">
        <f t="shared" si="254"/>
        <v>4.5443946645423831E-2</v>
      </c>
    </row>
    <row r="683" spans="30:32">
      <c r="AD683" s="50">
        <v>612.20000000000005</v>
      </c>
      <c r="AE683" s="51">
        <v>90.100999999999999</v>
      </c>
      <c r="AF683" s="52">
        <f t="shared" si="254"/>
        <v>4.5270388909151776E-2</v>
      </c>
    </row>
    <row r="684" spans="30:32">
      <c r="AD684" s="50">
        <v>612.1</v>
      </c>
      <c r="AE684" s="51">
        <v>90.113</v>
      </c>
      <c r="AF684" s="52">
        <f t="shared" si="254"/>
        <v>4.5212551740113391E-2</v>
      </c>
    </row>
    <row r="685" spans="30:32">
      <c r="AD685" s="50">
        <v>612</v>
      </c>
      <c r="AE685" s="51">
        <v>90.13</v>
      </c>
      <c r="AF685" s="52">
        <f t="shared" si="254"/>
        <v>4.5130628933521759E-2</v>
      </c>
    </row>
    <row r="686" spans="30:32">
      <c r="AD686" s="50">
        <v>611.9</v>
      </c>
      <c r="AE686" s="51">
        <v>90.097999999999999</v>
      </c>
      <c r="AF686" s="52">
        <f t="shared" si="254"/>
        <v>4.5284849405001687E-2</v>
      </c>
    </row>
    <row r="687" spans="30:32">
      <c r="AD687" s="50">
        <v>611.79999999999995</v>
      </c>
      <c r="AE687" s="51">
        <v>90.090999999999994</v>
      </c>
      <c r="AF687" s="52">
        <f t="shared" si="254"/>
        <v>4.5318592434541255E-2</v>
      </c>
    </row>
    <row r="688" spans="30:32">
      <c r="AD688" s="50">
        <v>611.70000000000005</v>
      </c>
      <c r="AE688" s="51">
        <v>90.019000000000005</v>
      </c>
      <c r="AF688" s="52">
        <f t="shared" si="254"/>
        <v>4.5665815846486026E-2</v>
      </c>
    </row>
    <row r="689" spans="30:32">
      <c r="AD689" s="50">
        <v>611.6</v>
      </c>
      <c r="AE689" s="51">
        <v>90.058000000000007</v>
      </c>
      <c r="AF689" s="52">
        <f t="shared" si="254"/>
        <v>4.5477702038958796E-2</v>
      </c>
    </row>
    <row r="690" spans="30:32">
      <c r="AD690" s="50">
        <v>611.5</v>
      </c>
      <c r="AE690" s="51">
        <v>90.137</v>
      </c>
      <c r="AF690" s="52">
        <f t="shared" si="254"/>
        <v>4.5096900504304524E-2</v>
      </c>
    </row>
    <row r="691" spans="30:32">
      <c r="AD691" s="50">
        <v>611.4</v>
      </c>
      <c r="AE691" s="51">
        <v>90.147000000000006</v>
      </c>
      <c r="AF691" s="52">
        <f t="shared" si="254"/>
        <v>4.5048721577461426E-2</v>
      </c>
    </row>
    <row r="692" spans="30:32">
      <c r="AD692" s="50">
        <v>611.29999999999995</v>
      </c>
      <c r="AE692" s="51">
        <v>90.125</v>
      </c>
      <c r="AF692" s="52">
        <f t="shared" si="254"/>
        <v>4.5154722272514554E-2</v>
      </c>
    </row>
    <row r="693" spans="30:32">
      <c r="AD693" s="50">
        <v>611.20000000000005</v>
      </c>
      <c r="AE693" s="51">
        <v>90.141000000000005</v>
      </c>
      <c r="AF693" s="52">
        <f t="shared" si="254"/>
        <v>4.5077628292188796E-2</v>
      </c>
    </row>
    <row r="694" spans="30:32">
      <c r="AD694" s="50">
        <v>611.1</v>
      </c>
      <c r="AE694" s="51">
        <v>90.116</v>
      </c>
      <c r="AF694" s="52">
        <f t="shared" si="254"/>
        <v>4.5198093651283855E-2</v>
      </c>
    </row>
    <row r="695" spans="30:32">
      <c r="AD695" s="50">
        <v>611</v>
      </c>
      <c r="AE695" s="51">
        <v>90.155000000000001</v>
      </c>
      <c r="AF695" s="52">
        <f t="shared" si="254"/>
        <v>4.5010182283859584E-2</v>
      </c>
    </row>
    <row r="696" spans="30:32">
      <c r="AD696" s="50">
        <v>610.9</v>
      </c>
      <c r="AE696" s="51">
        <v>90.128</v>
      </c>
      <c r="AF696" s="52">
        <f t="shared" si="254"/>
        <v>4.5140266108724444E-2</v>
      </c>
    </row>
    <row r="697" spans="30:32">
      <c r="AD697" s="50">
        <v>610.79999999999995</v>
      </c>
      <c r="AE697" s="51">
        <v>90.164000000000001</v>
      </c>
      <c r="AF697" s="52">
        <f t="shared" si="254"/>
        <v>4.4966829666105754E-2</v>
      </c>
    </row>
    <row r="698" spans="30:32">
      <c r="AD698" s="50">
        <v>610.70000000000005</v>
      </c>
      <c r="AE698" s="51">
        <v>90.185000000000002</v>
      </c>
      <c r="AF698" s="52">
        <f t="shared" si="254"/>
        <v>4.486569038436658E-2</v>
      </c>
    </row>
    <row r="699" spans="30:32">
      <c r="AD699" s="50">
        <v>610.6</v>
      </c>
      <c r="AE699" s="51">
        <v>90.162999999999997</v>
      </c>
      <c r="AF699" s="52">
        <f t="shared" si="254"/>
        <v>4.4971646409931253E-2</v>
      </c>
    </row>
    <row r="700" spans="30:32">
      <c r="AD700" s="50">
        <v>610.5</v>
      </c>
      <c r="AE700" s="51">
        <v>90.132000000000005</v>
      </c>
      <c r="AF700" s="52">
        <f t="shared" si="254"/>
        <v>4.5120991972167256E-2</v>
      </c>
    </row>
    <row r="701" spans="30:32">
      <c r="AD701" s="50">
        <v>610.4</v>
      </c>
      <c r="AE701" s="51">
        <v>90.137</v>
      </c>
      <c r="AF701" s="52">
        <f t="shared" si="254"/>
        <v>4.5096900504304524E-2</v>
      </c>
    </row>
    <row r="702" spans="30:32">
      <c r="AD702" s="50">
        <v>610.29999999999995</v>
      </c>
      <c r="AE702" s="51">
        <v>90.128</v>
      </c>
      <c r="AF702" s="52">
        <f t="shared" si="254"/>
        <v>4.5140266108724444E-2</v>
      </c>
    </row>
    <row r="703" spans="30:32">
      <c r="AD703" s="50">
        <v>610.20000000000005</v>
      </c>
      <c r="AE703" s="51">
        <v>90.180999999999997</v>
      </c>
      <c r="AF703" s="52">
        <f t="shared" si="254"/>
        <v>4.4884953193631075E-2</v>
      </c>
    </row>
    <row r="704" spans="30:32">
      <c r="AD704" s="50">
        <v>610.1</v>
      </c>
      <c r="AE704" s="51">
        <v>90.171000000000006</v>
      </c>
      <c r="AF704" s="52">
        <f t="shared" si="254"/>
        <v>4.4933113955069624E-2</v>
      </c>
    </row>
    <row r="705" spans="30:32">
      <c r="AD705" s="50">
        <v>610</v>
      </c>
      <c r="AE705" s="51">
        <v>90.141000000000005</v>
      </c>
      <c r="AF705" s="52">
        <f t="shared" si="254"/>
        <v>4.5077628292188796E-2</v>
      </c>
    </row>
    <row r="706" spans="30:32">
      <c r="AD706" s="50">
        <v>609.9</v>
      </c>
      <c r="AE706" s="51">
        <v>90.137</v>
      </c>
      <c r="AF706" s="52">
        <f t="shared" si="254"/>
        <v>4.5096900504304524E-2</v>
      </c>
    </row>
    <row r="707" spans="30:32">
      <c r="AD707" s="50">
        <v>609.79999999999995</v>
      </c>
      <c r="AE707" s="51">
        <v>90.123999999999995</v>
      </c>
      <c r="AF707" s="52">
        <f t="shared" si="254"/>
        <v>4.5159541100712332E-2</v>
      </c>
    </row>
    <row r="708" spans="30:32">
      <c r="AD708" s="50">
        <v>609.70000000000005</v>
      </c>
      <c r="AE708" s="51">
        <v>90.119</v>
      </c>
      <c r="AF708" s="52">
        <f t="shared" si="254"/>
        <v>4.5183636043762195E-2</v>
      </c>
    </row>
    <row r="709" spans="30:32">
      <c r="AD709" s="50">
        <v>609.6</v>
      </c>
      <c r="AE709" s="51">
        <v>90.129000000000005</v>
      </c>
      <c r="AF709" s="52">
        <f t="shared" ref="AF709:AF772" si="255">-LOG(AE709/100)</f>
        <v>4.513544749439146E-2</v>
      </c>
    </row>
    <row r="710" spans="30:32">
      <c r="AD710" s="50">
        <v>609.5</v>
      </c>
      <c r="AE710" s="51">
        <v>90.153999999999996</v>
      </c>
      <c r="AF710" s="52">
        <f t="shared" si="255"/>
        <v>4.5014999508533951E-2</v>
      </c>
    </row>
    <row r="711" spans="30:32">
      <c r="AD711" s="50">
        <v>609.4</v>
      </c>
      <c r="AE711" s="51">
        <v>90.177000000000007</v>
      </c>
      <c r="AF711" s="52">
        <f t="shared" si="255"/>
        <v>4.490421685732101E-2</v>
      </c>
    </row>
    <row r="712" spans="30:32">
      <c r="AD712" s="50">
        <v>609.29999999999995</v>
      </c>
      <c r="AE712" s="51">
        <v>90.171000000000006</v>
      </c>
      <c r="AF712" s="52">
        <f t="shared" si="255"/>
        <v>4.4933113955069624E-2</v>
      </c>
    </row>
    <row r="713" spans="30:32">
      <c r="AD713" s="50">
        <v>609.20000000000005</v>
      </c>
      <c r="AE713" s="51">
        <v>90.144999999999996</v>
      </c>
      <c r="AF713" s="52">
        <f t="shared" si="255"/>
        <v>4.5058356935257088E-2</v>
      </c>
    </row>
    <row r="714" spans="30:32">
      <c r="AD714" s="50">
        <v>609.1</v>
      </c>
      <c r="AE714" s="51">
        <v>90.141999999999996</v>
      </c>
      <c r="AF714" s="52">
        <f t="shared" si="255"/>
        <v>4.5072810372785349E-2</v>
      </c>
    </row>
    <row r="715" spans="30:32">
      <c r="AD715" s="50">
        <v>609</v>
      </c>
      <c r="AE715" s="51">
        <v>90.106999999999999</v>
      </c>
      <c r="AF715" s="52">
        <f t="shared" si="255"/>
        <v>4.524146936182441E-2</v>
      </c>
    </row>
    <row r="716" spans="30:32">
      <c r="AD716" s="50">
        <v>608.9</v>
      </c>
      <c r="AE716" s="51">
        <v>90.164000000000001</v>
      </c>
      <c r="AF716" s="52">
        <f t="shared" si="255"/>
        <v>4.4966829666105754E-2</v>
      </c>
    </row>
    <row r="717" spans="30:32">
      <c r="AD717" s="50">
        <v>608.79999999999995</v>
      </c>
      <c r="AE717" s="51">
        <v>90.182000000000002</v>
      </c>
      <c r="AF717" s="52">
        <f t="shared" si="255"/>
        <v>4.4880137411215493E-2</v>
      </c>
    </row>
    <row r="718" spans="30:32">
      <c r="AD718" s="50">
        <v>608.70000000000005</v>
      </c>
      <c r="AE718" s="51">
        <v>90.149000000000001</v>
      </c>
      <c r="AF718" s="52">
        <f t="shared" si="255"/>
        <v>4.5039086433433406E-2</v>
      </c>
    </row>
    <row r="719" spans="30:32">
      <c r="AD719" s="50">
        <v>608.6</v>
      </c>
      <c r="AE719" s="51">
        <v>90.102000000000004</v>
      </c>
      <c r="AF719" s="52">
        <f t="shared" si="255"/>
        <v>4.5265568850862956E-2</v>
      </c>
    </row>
    <row r="720" spans="30:32">
      <c r="AD720" s="50">
        <v>608.5</v>
      </c>
      <c r="AE720" s="51">
        <v>90.119</v>
      </c>
      <c r="AF720" s="52">
        <f t="shared" si="255"/>
        <v>4.5183636043762195E-2</v>
      </c>
    </row>
    <row r="721" spans="30:32">
      <c r="AD721" s="50">
        <v>608.4</v>
      </c>
      <c r="AE721" s="51">
        <v>90.094999999999999</v>
      </c>
      <c r="AF721" s="52">
        <f t="shared" si="255"/>
        <v>4.5299310382351854E-2</v>
      </c>
    </row>
    <row r="722" spans="30:32">
      <c r="AD722" s="50">
        <v>608.29999999999995</v>
      </c>
      <c r="AE722" s="51">
        <v>90.212999999999994</v>
      </c>
      <c r="AF722" s="52">
        <f t="shared" si="255"/>
        <v>4.4730874637064072E-2</v>
      </c>
    </row>
    <row r="723" spans="30:32">
      <c r="AD723" s="50">
        <v>608.20000000000005</v>
      </c>
      <c r="AE723" s="51">
        <v>90.200999999999993</v>
      </c>
      <c r="AF723" s="52">
        <f t="shared" si="255"/>
        <v>4.478864769004804E-2</v>
      </c>
    </row>
    <row r="724" spans="30:32">
      <c r="AD724" s="50">
        <v>608.1</v>
      </c>
      <c r="AE724" s="51">
        <v>90.185000000000002</v>
      </c>
      <c r="AF724" s="52">
        <f t="shared" si="255"/>
        <v>4.486569038436658E-2</v>
      </c>
    </row>
    <row r="725" spans="30:32">
      <c r="AD725" s="50">
        <v>608</v>
      </c>
      <c r="AE725" s="51">
        <v>90.2</v>
      </c>
      <c r="AF725" s="52">
        <f t="shared" si="255"/>
        <v>4.4793462458058257E-2</v>
      </c>
    </row>
    <row r="726" spans="30:32">
      <c r="AD726" s="50">
        <v>607.9</v>
      </c>
      <c r="AE726" s="51">
        <v>90.126999999999995</v>
      </c>
      <c r="AF726" s="52">
        <f t="shared" si="255"/>
        <v>4.5145084776521849E-2</v>
      </c>
    </row>
    <row r="727" spans="30:32">
      <c r="AD727" s="50">
        <v>607.79999999999995</v>
      </c>
      <c r="AE727" s="51">
        <v>90.171999999999997</v>
      </c>
      <c r="AF727" s="52">
        <f t="shared" si="255"/>
        <v>4.4928297638584858E-2</v>
      </c>
    </row>
    <row r="728" spans="30:32">
      <c r="AD728" s="50">
        <v>607.70000000000005</v>
      </c>
      <c r="AE728" s="51">
        <v>90.128</v>
      </c>
      <c r="AF728" s="52">
        <f t="shared" si="255"/>
        <v>4.5140266108724444E-2</v>
      </c>
    </row>
    <row r="729" spans="30:32">
      <c r="AD729" s="50">
        <v>607.6</v>
      </c>
      <c r="AE729" s="51">
        <v>90.191000000000003</v>
      </c>
      <c r="AF729" s="52">
        <f t="shared" si="255"/>
        <v>4.4836797772351916E-2</v>
      </c>
    </row>
    <row r="730" spans="30:32">
      <c r="AD730" s="50">
        <v>607.5</v>
      </c>
      <c r="AE730" s="51">
        <v>90.188000000000002</v>
      </c>
      <c r="AF730" s="52">
        <f t="shared" si="255"/>
        <v>4.4851243838089382E-2</v>
      </c>
    </row>
    <row r="731" spans="30:32">
      <c r="AD731" s="50">
        <v>607.4</v>
      </c>
      <c r="AE731" s="51">
        <v>90.216999999999999</v>
      </c>
      <c r="AF731" s="52">
        <f t="shared" si="255"/>
        <v>4.4711618660475926E-2</v>
      </c>
    </row>
    <row r="732" spans="30:32">
      <c r="AD732" s="50">
        <v>607.29999999999995</v>
      </c>
      <c r="AE732" s="51">
        <v>90.117999999999995</v>
      </c>
      <c r="AF732" s="52">
        <f t="shared" si="255"/>
        <v>4.5188455192792749E-2</v>
      </c>
    </row>
    <row r="733" spans="30:32">
      <c r="AD733" s="50">
        <v>607.20000000000005</v>
      </c>
      <c r="AE733" s="51">
        <v>90.132000000000005</v>
      </c>
      <c r="AF733" s="52">
        <f t="shared" si="255"/>
        <v>4.5120991972167256E-2</v>
      </c>
    </row>
    <row r="734" spans="30:32">
      <c r="AD734" s="50">
        <v>607.1</v>
      </c>
      <c r="AE734" s="51">
        <v>90.165000000000006</v>
      </c>
      <c r="AF734" s="52">
        <f t="shared" si="255"/>
        <v>4.496201297570198E-2</v>
      </c>
    </row>
    <row r="735" spans="30:32">
      <c r="AD735" s="50">
        <v>607</v>
      </c>
      <c r="AE735" s="51">
        <v>90.201999999999998</v>
      </c>
      <c r="AF735" s="52">
        <f t="shared" si="255"/>
        <v>4.4783832975415737E-2</v>
      </c>
    </row>
    <row r="736" spans="30:32">
      <c r="AD736" s="50">
        <v>606.9</v>
      </c>
      <c r="AE736" s="51">
        <v>90.228999999999999</v>
      </c>
      <c r="AF736" s="52">
        <f t="shared" si="255"/>
        <v>4.465385585287119E-2</v>
      </c>
    </row>
    <row r="737" spans="30:32">
      <c r="AD737" s="50">
        <v>606.79999999999995</v>
      </c>
      <c r="AE737" s="51">
        <v>90.200999999999993</v>
      </c>
      <c r="AF737" s="52">
        <f t="shared" si="255"/>
        <v>4.478864769004804E-2</v>
      </c>
    </row>
    <row r="738" spans="30:32">
      <c r="AD738" s="50">
        <v>606.70000000000005</v>
      </c>
      <c r="AE738" s="51">
        <v>90.180999999999997</v>
      </c>
      <c r="AF738" s="52">
        <f t="shared" si="255"/>
        <v>4.4884953193631075E-2</v>
      </c>
    </row>
    <row r="739" spans="30:32">
      <c r="AD739" s="50">
        <v>606.6</v>
      </c>
      <c r="AE739" s="51">
        <v>90.138000000000005</v>
      </c>
      <c r="AF739" s="52">
        <f t="shared" si="255"/>
        <v>4.5092082371097922E-2</v>
      </c>
    </row>
    <row r="740" spans="30:32">
      <c r="AD740" s="50">
        <v>606.5</v>
      </c>
      <c r="AE740" s="51">
        <v>90.183000000000007</v>
      </c>
      <c r="AF740" s="52">
        <f t="shared" si="255"/>
        <v>4.4875321682200375E-2</v>
      </c>
    </row>
    <row r="741" spans="30:32">
      <c r="AD741" s="50">
        <v>606.4</v>
      </c>
      <c r="AE741" s="51">
        <v>90.168000000000006</v>
      </c>
      <c r="AF741" s="52">
        <f t="shared" si="255"/>
        <v>4.4947563225009333E-2</v>
      </c>
    </row>
    <row r="742" spans="30:32">
      <c r="AD742" s="50">
        <v>606.29999999999995</v>
      </c>
      <c r="AE742" s="51">
        <v>90.162000000000006</v>
      </c>
      <c r="AF742" s="52">
        <f t="shared" si="255"/>
        <v>4.4976463207179566E-2</v>
      </c>
    </row>
    <row r="743" spans="30:32">
      <c r="AD743" s="50">
        <v>606.20000000000005</v>
      </c>
      <c r="AE743" s="51">
        <v>90.191999999999993</v>
      </c>
      <c r="AF743" s="52">
        <f t="shared" si="255"/>
        <v>4.4831982523887197E-2</v>
      </c>
    </row>
    <row r="744" spans="30:32">
      <c r="AD744" s="50">
        <v>606.1</v>
      </c>
      <c r="AE744" s="51">
        <v>90.15</v>
      </c>
      <c r="AF744" s="52">
        <f t="shared" si="255"/>
        <v>4.5034268941579199E-2</v>
      </c>
    </row>
    <row r="745" spans="30:32">
      <c r="AD745" s="50">
        <v>606</v>
      </c>
      <c r="AE745" s="51">
        <v>90.201999999999998</v>
      </c>
      <c r="AF745" s="52">
        <f t="shared" si="255"/>
        <v>4.4783832975415737E-2</v>
      </c>
    </row>
    <row r="746" spans="30:32">
      <c r="AD746" s="50">
        <v>605.9</v>
      </c>
      <c r="AE746" s="51">
        <v>90.156999999999996</v>
      </c>
      <c r="AF746" s="52">
        <f t="shared" si="255"/>
        <v>4.5000547994806794E-2</v>
      </c>
    </row>
    <row r="747" spans="30:32">
      <c r="AD747" s="50">
        <v>605.79999999999995</v>
      </c>
      <c r="AE747" s="51">
        <v>90.173000000000002</v>
      </c>
      <c r="AF747" s="52">
        <f t="shared" si="255"/>
        <v>4.4923481375512296E-2</v>
      </c>
    </row>
    <row r="748" spans="30:32">
      <c r="AD748" s="50">
        <v>605.70000000000005</v>
      </c>
      <c r="AE748" s="51">
        <v>90.174000000000007</v>
      </c>
      <c r="AF748" s="52">
        <f t="shared" si="255"/>
        <v>4.4918665165850809E-2</v>
      </c>
    </row>
    <row r="749" spans="30:32">
      <c r="AD749" s="50">
        <v>605.6</v>
      </c>
      <c r="AE749" s="51">
        <v>90.200999999999993</v>
      </c>
      <c r="AF749" s="52">
        <f t="shared" si="255"/>
        <v>4.478864769004804E-2</v>
      </c>
    </row>
    <row r="750" spans="30:32">
      <c r="AD750" s="50">
        <v>605.5</v>
      </c>
      <c r="AE750" s="51">
        <v>90.158000000000001</v>
      </c>
      <c r="AF750" s="52">
        <f t="shared" si="255"/>
        <v>4.4995730930426012E-2</v>
      </c>
    </row>
    <row r="751" spans="30:32">
      <c r="AD751" s="50">
        <v>605.4</v>
      </c>
      <c r="AE751" s="51">
        <v>90.141999999999996</v>
      </c>
      <c r="AF751" s="52">
        <f t="shared" si="255"/>
        <v>4.5072810372785349E-2</v>
      </c>
    </row>
    <row r="752" spans="30:32">
      <c r="AD752" s="50">
        <v>605.29999999999995</v>
      </c>
      <c r="AE752" s="51">
        <v>90.183000000000007</v>
      </c>
      <c r="AF752" s="52">
        <f t="shared" si="255"/>
        <v>4.4875321682200375E-2</v>
      </c>
    </row>
    <row r="753" spans="30:32">
      <c r="AD753" s="50">
        <v>605.20000000000005</v>
      </c>
      <c r="AE753" s="51">
        <v>90.153000000000006</v>
      </c>
      <c r="AF753" s="52">
        <f t="shared" si="255"/>
        <v>4.5019816786641909E-2</v>
      </c>
    </row>
    <row r="754" spans="30:32">
      <c r="AD754" s="50">
        <v>605.1</v>
      </c>
      <c r="AE754" s="51">
        <v>90.185000000000002</v>
      </c>
      <c r="AF754" s="52">
        <f t="shared" si="255"/>
        <v>4.486569038436658E-2</v>
      </c>
    </row>
    <row r="755" spans="30:32">
      <c r="AD755" s="50">
        <v>605</v>
      </c>
      <c r="AE755" s="51">
        <v>90.159000000000006</v>
      </c>
      <c r="AF755" s="52">
        <f t="shared" si="255"/>
        <v>4.4990913919474074E-2</v>
      </c>
    </row>
    <row r="756" spans="30:32">
      <c r="AD756" s="50">
        <v>604.9</v>
      </c>
      <c r="AE756" s="51">
        <v>90.195999999999998</v>
      </c>
      <c r="AF756" s="52">
        <f t="shared" si="255"/>
        <v>4.4812722063902063E-2</v>
      </c>
    </row>
    <row r="757" spans="30:32">
      <c r="AD757" s="50">
        <v>604.79999999999995</v>
      </c>
      <c r="AE757" s="51">
        <v>90.171999999999997</v>
      </c>
      <c r="AF757" s="52">
        <f t="shared" si="255"/>
        <v>4.4928297638584858E-2</v>
      </c>
    </row>
    <row r="758" spans="30:32">
      <c r="AD758" s="50">
        <v>604.70000000000005</v>
      </c>
      <c r="AE758" s="51">
        <v>90.162000000000006</v>
      </c>
      <c r="AF758" s="52">
        <f t="shared" si="255"/>
        <v>4.4976463207179566E-2</v>
      </c>
    </row>
    <row r="759" spans="30:32">
      <c r="AD759" s="50">
        <v>604.6</v>
      </c>
      <c r="AE759" s="51">
        <v>90.162999999999997</v>
      </c>
      <c r="AF759" s="52">
        <f t="shared" si="255"/>
        <v>4.4971646409931253E-2</v>
      </c>
    </row>
    <row r="760" spans="30:32">
      <c r="AD760" s="50">
        <v>604.5</v>
      </c>
      <c r="AE760" s="51">
        <v>90.128</v>
      </c>
      <c r="AF760" s="52">
        <f t="shared" si="255"/>
        <v>4.5140266108724444E-2</v>
      </c>
    </row>
    <row r="761" spans="30:32">
      <c r="AD761" s="50">
        <v>604.4</v>
      </c>
      <c r="AE761" s="51">
        <v>90.168000000000006</v>
      </c>
      <c r="AF761" s="52">
        <f t="shared" si="255"/>
        <v>4.4947563225009333E-2</v>
      </c>
    </row>
    <row r="762" spans="30:32">
      <c r="AD762" s="50">
        <v>604.29999999999995</v>
      </c>
      <c r="AE762" s="51">
        <v>90.177000000000007</v>
      </c>
      <c r="AF762" s="52">
        <f t="shared" si="255"/>
        <v>4.490421685732101E-2</v>
      </c>
    </row>
    <row r="763" spans="30:32">
      <c r="AD763" s="50">
        <v>604.20000000000005</v>
      </c>
      <c r="AE763" s="51">
        <v>90.212000000000003</v>
      </c>
      <c r="AF763" s="52">
        <f t="shared" si="255"/>
        <v>4.4735688764617414E-2</v>
      </c>
    </row>
    <row r="764" spans="30:32">
      <c r="AD764" s="50">
        <v>604.1</v>
      </c>
      <c r="AE764" s="51">
        <v>90.177999999999997</v>
      </c>
      <c r="AF764" s="52">
        <f t="shared" si="255"/>
        <v>4.4899400861292002E-2</v>
      </c>
    </row>
    <row r="765" spans="30:32">
      <c r="AD765" s="50">
        <v>604</v>
      </c>
      <c r="AE765" s="51">
        <v>90.215999999999994</v>
      </c>
      <c r="AF765" s="52">
        <f t="shared" si="255"/>
        <v>4.4716432574581556E-2</v>
      </c>
    </row>
    <row r="766" spans="30:32">
      <c r="AD766" s="50">
        <v>603.9</v>
      </c>
      <c r="AE766" s="51">
        <v>90.218000000000004</v>
      </c>
      <c r="AF766" s="52">
        <f t="shared" si="255"/>
        <v>4.4706804799729334E-2</v>
      </c>
    </row>
    <row r="767" spans="30:32">
      <c r="AD767" s="50">
        <v>603.79999999999995</v>
      </c>
      <c r="AE767" s="51">
        <v>90.22</v>
      </c>
      <c r="AF767" s="52">
        <f t="shared" si="255"/>
        <v>4.4697177238308315E-2</v>
      </c>
    </row>
    <row r="768" spans="30:32">
      <c r="AD768" s="50">
        <v>603.70000000000005</v>
      </c>
      <c r="AE768" s="51">
        <v>90.215999999999994</v>
      </c>
      <c r="AF768" s="52">
        <f t="shared" si="255"/>
        <v>4.4716432574581556E-2</v>
      </c>
    </row>
    <row r="769" spans="30:32">
      <c r="AD769" s="50">
        <v>603.6</v>
      </c>
      <c r="AE769" s="51">
        <v>90.206000000000003</v>
      </c>
      <c r="AF769" s="52">
        <f t="shared" si="255"/>
        <v>4.476457465064184E-2</v>
      </c>
    </row>
    <row r="770" spans="30:32">
      <c r="AD770" s="50">
        <v>603.5</v>
      </c>
      <c r="AE770" s="51">
        <v>90.218999999999994</v>
      </c>
      <c r="AF770" s="52">
        <f t="shared" si="255"/>
        <v>4.470199099234054E-2</v>
      </c>
    </row>
    <row r="771" spans="30:32">
      <c r="AD771" s="50">
        <v>603.4</v>
      </c>
      <c r="AE771" s="51">
        <v>90.215000000000003</v>
      </c>
      <c r="AF771" s="52">
        <f t="shared" si="255"/>
        <v>4.4721246542047302E-2</v>
      </c>
    </row>
    <row r="772" spans="30:32">
      <c r="AD772" s="50">
        <v>603.29999999999995</v>
      </c>
      <c r="AE772" s="51">
        <v>90.239000000000004</v>
      </c>
      <c r="AF772" s="52">
        <f t="shared" si="255"/>
        <v>4.4605726047881086E-2</v>
      </c>
    </row>
    <row r="773" spans="30:32">
      <c r="AD773" s="50">
        <v>603.20000000000005</v>
      </c>
      <c r="AE773" s="51">
        <v>90.203999999999994</v>
      </c>
      <c r="AF773" s="52">
        <f t="shared" ref="AF773:AF836" si="256">-LOG(AE773/100)</f>
        <v>4.4774203706280088E-2</v>
      </c>
    </row>
    <row r="774" spans="30:32">
      <c r="AD774" s="50">
        <v>603.1</v>
      </c>
      <c r="AE774" s="51">
        <v>90.24</v>
      </c>
      <c r="AF774" s="52">
        <f t="shared" si="256"/>
        <v>4.4600913360732936E-2</v>
      </c>
    </row>
    <row r="775" spans="30:32">
      <c r="AD775" s="50">
        <v>603</v>
      </c>
      <c r="AE775" s="51">
        <v>90.242999999999995</v>
      </c>
      <c r="AF775" s="52">
        <f t="shared" si="256"/>
        <v>4.4586475619274424E-2</v>
      </c>
    </row>
    <row r="776" spans="30:32">
      <c r="AD776" s="50">
        <v>602.9</v>
      </c>
      <c r="AE776" s="51">
        <v>90.316999999999993</v>
      </c>
      <c r="AF776" s="52">
        <f t="shared" si="256"/>
        <v>4.4230496515816432E-2</v>
      </c>
    </row>
    <row r="777" spans="30:32">
      <c r="AD777" s="50">
        <v>602.79999999999995</v>
      </c>
      <c r="AE777" s="51">
        <v>90.268000000000001</v>
      </c>
      <c r="AF777" s="52">
        <f t="shared" si="256"/>
        <v>4.4466179768971631E-2</v>
      </c>
    </row>
    <row r="778" spans="30:32">
      <c r="AD778" s="50">
        <v>602.70000000000005</v>
      </c>
      <c r="AE778" s="51">
        <v>90.192999999999998</v>
      </c>
      <c r="AF778" s="52">
        <f t="shared" si="256"/>
        <v>4.4827167328810993E-2</v>
      </c>
    </row>
    <row r="779" spans="30:32">
      <c r="AD779" s="50">
        <v>602.6</v>
      </c>
      <c r="AE779" s="51">
        <v>90.22</v>
      </c>
      <c r="AF779" s="52">
        <f t="shared" si="256"/>
        <v>4.4697177238308315E-2</v>
      </c>
    </row>
    <row r="780" spans="30:32">
      <c r="AD780" s="50">
        <v>602.5</v>
      </c>
      <c r="AE780" s="51">
        <v>90.185000000000002</v>
      </c>
      <c r="AF780" s="52">
        <f t="shared" si="256"/>
        <v>4.486569038436658E-2</v>
      </c>
    </row>
    <row r="781" spans="30:32">
      <c r="AD781" s="50">
        <v>602.4</v>
      </c>
      <c r="AE781" s="51">
        <v>90.191000000000003</v>
      </c>
      <c r="AF781" s="52">
        <f t="shared" si="256"/>
        <v>4.4836797772351916E-2</v>
      </c>
    </row>
    <row r="782" spans="30:32">
      <c r="AD782" s="50">
        <v>602.29999999999995</v>
      </c>
      <c r="AE782" s="51">
        <v>90.171000000000006</v>
      </c>
      <c r="AF782" s="52">
        <f t="shared" si="256"/>
        <v>4.4933113955069624E-2</v>
      </c>
    </row>
    <row r="783" spans="30:32">
      <c r="AD783" s="50">
        <v>602.20000000000005</v>
      </c>
      <c r="AE783" s="51">
        <v>90.209000000000003</v>
      </c>
      <c r="AF783" s="52">
        <f t="shared" si="256"/>
        <v>4.4750131467471609E-2</v>
      </c>
    </row>
    <row r="784" spans="30:32">
      <c r="AD784" s="50">
        <v>602.1</v>
      </c>
      <c r="AE784" s="51">
        <v>90.185000000000002</v>
      </c>
      <c r="AF784" s="52">
        <f t="shared" si="256"/>
        <v>4.486569038436658E-2</v>
      </c>
    </row>
    <row r="785" spans="30:32">
      <c r="AD785" s="50">
        <v>602</v>
      </c>
      <c r="AE785" s="51">
        <v>90.168000000000006</v>
      </c>
      <c r="AF785" s="52">
        <f t="shared" si="256"/>
        <v>4.4947563225009333E-2</v>
      </c>
    </row>
    <row r="786" spans="30:32">
      <c r="AD786" s="50">
        <v>601.9</v>
      </c>
      <c r="AE786" s="51">
        <v>90.239000000000004</v>
      </c>
      <c r="AF786" s="52">
        <f t="shared" si="256"/>
        <v>4.4605726047881086E-2</v>
      </c>
    </row>
    <row r="787" spans="30:32">
      <c r="AD787" s="50">
        <v>601.79999999999995</v>
      </c>
      <c r="AE787" s="51">
        <v>90.218999999999994</v>
      </c>
      <c r="AF787" s="52">
        <f t="shared" si="256"/>
        <v>4.470199099234054E-2</v>
      </c>
    </row>
    <row r="788" spans="30:32">
      <c r="AD788" s="50">
        <v>601.70000000000005</v>
      </c>
      <c r="AE788" s="51">
        <v>90.221000000000004</v>
      </c>
      <c r="AF788" s="52">
        <f t="shared" si="256"/>
        <v>4.4692363537631521E-2</v>
      </c>
    </row>
    <row r="789" spans="30:32">
      <c r="AD789" s="50">
        <v>601.6</v>
      </c>
      <c r="AE789" s="51">
        <v>90.155000000000001</v>
      </c>
      <c r="AF789" s="52">
        <f t="shared" si="256"/>
        <v>4.5010182283859584E-2</v>
      </c>
    </row>
    <row r="790" spans="30:32">
      <c r="AD790" s="50">
        <v>601.5</v>
      </c>
      <c r="AE790" s="51">
        <v>90.165999999999997</v>
      </c>
      <c r="AF790" s="52">
        <f t="shared" si="256"/>
        <v>4.4957196338718815E-2</v>
      </c>
    </row>
    <row r="791" spans="30:32">
      <c r="AD791" s="50">
        <v>601.4</v>
      </c>
      <c r="AE791" s="51">
        <v>90.171000000000006</v>
      </c>
      <c r="AF791" s="52">
        <f t="shared" si="256"/>
        <v>4.4933113955069624E-2</v>
      </c>
    </row>
    <row r="792" spans="30:32">
      <c r="AD792" s="50">
        <v>601.29999999999995</v>
      </c>
      <c r="AE792" s="51">
        <v>90.156999999999996</v>
      </c>
      <c r="AF792" s="52">
        <f t="shared" si="256"/>
        <v>4.5000547994806794E-2</v>
      </c>
    </row>
    <row r="793" spans="30:32">
      <c r="AD793" s="50">
        <v>601.20000000000005</v>
      </c>
      <c r="AE793" s="51">
        <v>90.097999999999999</v>
      </c>
      <c r="AF793" s="52">
        <f t="shared" si="256"/>
        <v>4.5284849405001687E-2</v>
      </c>
    </row>
    <row r="794" spans="30:32">
      <c r="AD794" s="50">
        <v>601.1</v>
      </c>
      <c r="AE794" s="51">
        <v>90.179000000000002</v>
      </c>
      <c r="AF794" s="52">
        <f t="shared" si="256"/>
        <v>4.4894584918668143E-2</v>
      </c>
    </row>
    <row r="795" spans="30:32">
      <c r="AD795" s="50">
        <v>601</v>
      </c>
      <c r="AE795" s="51">
        <v>90.167000000000002</v>
      </c>
      <c r="AF795" s="52">
        <f t="shared" si="256"/>
        <v>4.4952379755155016E-2</v>
      </c>
    </row>
    <row r="796" spans="30:32">
      <c r="AD796" s="50">
        <v>600.9</v>
      </c>
      <c r="AE796" s="51">
        <v>90.126999999999995</v>
      </c>
      <c r="AF796" s="52">
        <f t="shared" si="256"/>
        <v>4.5145084776521849E-2</v>
      </c>
    </row>
    <row r="797" spans="30:32">
      <c r="AD797" s="50">
        <v>600.79999999999995</v>
      </c>
      <c r="AE797" s="51">
        <v>90.18</v>
      </c>
      <c r="AF797" s="52">
        <f t="shared" si="256"/>
        <v>4.488976902944819E-2</v>
      </c>
    </row>
    <row r="798" spans="30:32">
      <c r="AD798" s="50">
        <v>600.70000000000005</v>
      </c>
      <c r="AE798" s="51">
        <v>90.191000000000003</v>
      </c>
      <c r="AF798" s="52">
        <f t="shared" si="256"/>
        <v>4.4836797772351916E-2</v>
      </c>
    </row>
    <row r="799" spans="30:32">
      <c r="AD799" s="50">
        <v>600.6</v>
      </c>
      <c r="AE799" s="51">
        <v>90.274000000000001</v>
      </c>
      <c r="AF799" s="52">
        <f t="shared" si="256"/>
        <v>4.4437313722374423E-2</v>
      </c>
    </row>
    <row r="800" spans="30:32">
      <c r="AD800" s="50">
        <v>600.5</v>
      </c>
      <c r="AE800" s="51">
        <v>90.228999999999999</v>
      </c>
      <c r="AF800" s="52">
        <f t="shared" si="256"/>
        <v>4.465385585287119E-2</v>
      </c>
    </row>
    <row r="801" spans="30:32">
      <c r="AD801" s="50">
        <v>600.4</v>
      </c>
      <c r="AE801" s="51">
        <v>90.156000000000006</v>
      </c>
      <c r="AF801" s="52">
        <f t="shared" si="256"/>
        <v>4.5005365112617553E-2</v>
      </c>
    </row>
    <row r="802" spans="30:32">
      <c r="AD802" s="50">
        <v>600.29999999999995</v>
      </c>
      <c r="AE802" s="51">
        <v>90.147999999999996</v>
      </c>
      <c r="AF802" s="52">
        <f t="shared" si="256"/>
        <v>4.5043903978727116E-2</v>
      </c>
    </row>
    <row r="803" spans="30:32">
      <c r="AD803" s="50">
        <v>600.20000000000005</v>
      </c>
      <c r="AE803" s="51">
        <v>90.165999999999997</v>
      </c>
      <c r="AF803" s="52">
        <f t="shared" si="256"/>
        <v>4.4957196338718815E-2</v>
      </c>
    </row>
    <row r="804" spans="30:32">
      <c r="AD804" s="50">
        <v>600.1</v>
      </c>
      <c r="AE804" s="51">
        <v>90.177999999999997</v>
      </c>
      <c r="AF804" s="52">
        <f t="shared" si="256"/>
        <v>4.4899400861292002E-2</v>
      </c>
    </row>
    <row r="805" spans="30:32">
      <c r="AD805" s="50">
        <v>600</v>
      </c>
      <c r="AE805" s="51">
        <v>90.177000000000007</v>
      </c>
      <c r="AF805" s="52">
        <f t="shared" si="256"/>
        <v>4.490421685732101E-2</v>
      </c>
    </row>
    <row r="806" spans="30:32">
      <c r="AD806" s="50">
        <v>599.9</v>
      </c>
      <c r="AE806" s="51">
        <v>90.149000000000001</v>
      </c>
      <c r="AF806" s="52">
        <f t="shared" si="256"/>
        <v>4.5039086433433406E-2</v>
      </c>
    </row>
    <row r="807" spans="30:32">
      <c r="AD807" s="50">
        <v>599.79999999999995</v>
      </c>
      <c r="AE807" s="51">
        <v>90.123999999999995</v>
      </c>
      <c r="AF807" s="52">
        <f t="shared" si="256"/>
        <v>4.5159541100712332E-2</v>
      </c>
    </row>
    <row r="808" spans="30:32">
      <c r="AD808" s="50">
        <v>599.70000000000005</v>
      </c>
      <c r="AE808" s="51">
        <v>90.144000000000005</v>
      </c>
      <c r="AF808" s="52">
        <f t="shared" si="256"/>
        <v>4.5063174694320654E-2</v>
      </c>
    </row>
    <row r="809" spans="30:32">
      <c r="AD809" s="50">
        <v>599.6</v>
      </c>
      <c r="AE809" s="51">
        <v>90.137</v>
      </c>
      <c r="AF809" s="52">
        <f t="shared" si="256"/>
        <v>4.5096900504304524E-2</v>
      </c>
    </row>
    <row r="810" spans="30:32">
      <c r="AD810" s="50">
        <v>599.5</v>
      </c>
      <c r="AE810" s="51">
        <v>90.155000000000001</v>
      </c>
      <c r="AF810" s="52">
        <f t="shared" si="256"/>
        <v>4.5010182283859584E-2</v>
      </c>
    </row>
    <row r="811" spans="30:32">
      <c r="AD811" s="50">
        <v>599.4</v>
      </c>
      <c r="AE811" s="51">
        <v>90.165999999999997</v>
      </c>
      <c r="AF811" s="52">
        <f t="shared" si="256"/>
        <v>4.4957196338718815E-2</v>
      </c>
    </row>
    <row r="812" spans="30:32">
      <c r="AD812" s="50">
        <v>599.29999999999995</v>
      </c>
      <c r="AE812" s="51">
        <v>90.138999999999996</v>
      </c>
      <c r="AF812" s="52">
        <f t="shared" si="256"/>
        <v>4.5087264291343979E-2</v>
      </c>
    </row>
    <row r="813" spans="30:32">
      <c r="AD813" s="50">
        <v>599.20000000000005</v>
      </c>
      <c r="AE813" s="51">
        <v>90.215000000000003</v>
      </c>
      <c r="AF813" s="52">
        <f t="shared" si="256"/>
        <v>4.4721246542047302E-2</v>
      </c>
    </row>
    <row r="814" spans="30:32">
      <c r="AD814" s="50">
        <v>599.1</v>
      </c>
      <c r="AE814" s="51">
        <v>90.162999999999997</v>
      </c>
      <c r="AF814" s="52">
        <f t="shared" si="256"/>
        <v>4.4971646409931253E-2</v>
      </c>
    </row>
    <row r="815" spans="30:32">
      <c r="AD815" s="50">
        <v>599</v>
      </c>
      <c r="AE815" s="51">
        <v>90.186999999999998</v>
      </c>
      <c r="AF815" s="52">
        <f t="shared" si="256"/>
        <v>4.4856059300120266E-2</v>
      </c>
    </row>
    <row r="816" spans="30:32">
      <c r="AD816" s="50">
        <v>598.9</v>
      </c>
      <c r="AE816" s="51">
        <v>90.177000000000007</v>
      </c>
      <c r="AF816" s="52">
        <f t="shared" si="256"/>
        <v>4.490421685732101E-2</v>
      </c>
    </row>
    <row r="817" spans="30:32">
      <c r="AD817" s="50">
        <v>598.79999999999995</v>
      </c>
      <c r="AE817" s="51">
        <v>90.213999999999999</v>
      </c>
      <c r="AF817" s="52">
        <f t="shared" si="256"/>
        <v>4.4726060562874446E-2</v>
      </c>
    </row>
    <row r="818" spans="30:32">
      <c r="AD818" s="50">
        <v>598.70000000000005</v>
      </c>
      <c r="AE818" s="51">
        <v>90.188999999999993</v>
      </c>
      <c r="AF818" s="52">
        <f t="shared" si="256"/>
        <v>4.484642842945185E-2</v>
      </c>
    </row>
    <row r="819" spans="30:32">
      <c r="AD819" s="50">
        <v>598.6</v>
      </c>
      <c r="AE819" s="51">
        <v>90.212999999999994</v>
      </c>
      <c r="AF819" s="52">
        <f t="shared" si="256"/>
        <v>4.4730874637064072E-2</v>
      </c>
    </row>
    <row r="820" spans="30:32">
      <c r="AD820" s="50">
        <v>598.5</v>
      </c>
      <c r="AE820" s="51">
        <v>90.146000000000001</v>
      </c>
      <c r="AF820" s="52">
        <f t="shared" si="256"/>
        <v>4.5053539229637722E-2</v>
      </c>
    </row>
    <row r="821" spans="30:32">
      <c r="AD821" s="50">
        <v>598.4</v>
      </c>
      <c r="AE821" s="51">
        <v>90.144999999999996</v>
      </c>
      <c r="AF821" s="52">
        <f t="shared" si="256"/>
        <v>4.5058356935257088E-2</v>
      </c>
    </row>
    <row r="822" spans="30:32">
      <c r="AD822" s="50">
        <v>598.29999999999995</v>
      </c>
      <c r="AE822" s="51">
        <v>90.16</v>
      </c>
      <c r="AF822" s="52">
        <f t="shared" si="256"/>
        <v>4.4986096961949898E-2</v>
      </c>
    </row>
    <row r="823" spans="30:32">
      <c r="AD823" s="50">
        <v>598.20000000000005</v>
      </c>
      <c r="AE823" s="51">
        <v>90.126999999999995</v>
      </c>
      <c r="AF823" s="52">
        <f t="shared" si="256"/>
        <v>4.5145084776521849E-2</v>
      </c>
    </row>
    <row r="824" spans="30:32">
      <c r="AD824" s="50">
        <v>598.1</v>
      </c>
      <c r="AE824" s="51">
        <v>90.147000000000006</v>
      </c>
      <c r="AF824" s="52">
        <f t="shared" si="256"/>
        <v>4.5048721577461426E-2</v>
      </c>
    </row>
    <row r="825" spans="30:32">
      <c r="AD825" s="50">
        <v>598</v>
      </c>
      <c r="AE825" s="51">
        <v>90.182000000000002</v>
      </c>
      <c r="AF825" s="52">
        <f t="shared" si="256"/>
        <v>4.4880137411215493E-2</v>
      </c>
    </row>
    <row r="826" spans="30:32">
      <c r="AD826" s="50">
        <v>597.9</v>
      </c>
      <c r="AE826" s="51">
        <v>90.200999999999993</v>
      </c>
      <c r="AF826" s="52">
        <f t="shared" si="256"/>
        <v>4.478864769004804E-2</v>
      </c>
    </row>
    <row r="827" spans="30:32">
      <c r="AD827" s="50">
        <v>597.79999999999995</v>
      </c>
      <c r="AE827" s="51">
        <v>90.216999999999999</v>
      </c>
      <c r="AF827" s="52">
        <f t="shared" si="256"/>
        <v>4.4711618660475926E-2</v>
      </c>
    </row>
    <row r="828" spans="30:32">
      <c r="AD828" s="50">
        <v>597.70000000000005</v>
      </c>
      <c r="AE828" s="51">
        <v>90.16</v>
      </c>
      <c r="AF828" s="52">
        <f t="shared" si="256"/>
        <v>4.4986096961949898E-2</v>
      </c>
    </row>
    <row r="829" spans="30:32">
      <c r="AD829" s="50">
        <v>597.6</v>
      </c>
      <c r="AE829" s="51">
        <v>90.156000000000006</v>
      </c>
      <c r="AF829" s="52">
        <f t="shared" si="256"/>
        <v>4.5005365112617553E-2</v>
      </c>
    </row>
    <row r="830" spans="30:32">
      <c r="AD830" s="50">
        <v>597.5</v>
      </c>
      <c r="AE830" s="51">
        <v>90.162999999999997</v>
      </c>
      <c r="AF830" s="52">
        <f t="shared" si="256"/>
        <v>4.4971646409931253E-2</v>
      </c>
    </row>
    <row r="831" spans="30:32">
      <c r="AD831" s="50">
        <v>597.4</v>
      </c>
      <c r="AE831" s="51">
        <v>90.198999999999998</v>
      </c>
      <c r="AF831" s="52">
        <f t="shared" si="256"/>
        <v>4.4798277279447629E-2</v>
      </c>
    </row>
    <row r="832" spans="30:32">
      <c r="AD832" s="50">
        <v>597.29999999999995</v>
      </c>
      <c r="AE832" s="51">
        <v>90.168000000000006</v>
      </c>
      <c r="AF832" s="52">
        <f t="shared" si="256"/>
        <v>4.4947563225009333E-2</v>
      </c>
    </row>
    <row r="833" spans="30:32">
      <c r="AD833" s="50">
        <v>597.20000000000005</v>
      </c>
      <c r="AE833" s="51">
        <v>90.185000000000002</v>
      </c>
      <c r="AF833" s="52">
        <f t="shared" si="256"/>
        <v>4.486569038436658E-2</v>
      </c>
    </row>
    <row r="834" spans="30:32">
      <c r="AD834" s="50">
        <v>597.1</v>
      </c>
      <c r="AE834" s="51">
        <v>90.17</v>
      </c>
      <c r="AF834" s="52">
        <f t="shared" si="256"/>
        <v>4.4937930324967824E-2</v>
      </c>
    </row>
    <row r="835" spans="30:32">
      <c r="AD835" s="50">
        <v>597</v>
      </c>
      <c r="AE835" s="51">
        <v>90.162999999999997</v>
      </c>
      <c r="AF835" s="52">
        <f t="shared" si="256"/>
        <v>4.4971646409931253E-2</v>
      </c>
    </row>
    <row r="836" spans="30:32">
      <c r="AD836" s="50">
        <v>596.9</v>
      </c>
      <c r="AE836" s="51">
        <v>90.129000000000005</v>
      </c>
      <c r="AF836" s="52">
        <f t="shared" si="256"/>
        <v>4.513544749439146E-2</v>
      </c>
    </row>
    <row r="837" spans="30:32">
      <c r="AD837" s="50">
        <v>596.79999999999995</v>
      </c>
      <c r="AE837" s="51">
        <v>90.162000000000006</v>
      </c>
      <c r="AF837" s="52">
        <f t="shared" ref="AF837:AF900" si="257">-LOG(AE837/100)</f>
        <v>4.4976463207179566E-2</v>
      </c>
    </row>
    <row r="838" spans="30:32">
      <c r="AD838" s="50">
        <v>596.70000000000005</v>
      </c>
      <c r="AE838" s="51">
        <v>90.188000000000002</v>
      </c>
      <c r="AF838" s="52">
        <f t="shared" si="257"/>
        <v>4.4851243838089382E-2</v>
      </c>
    </row>
    <row r="839" spans="30:32">
      <c r="AD839" s="50">
        <v>596.6</v>
      </c>
      <c r="AE839" s="51">
        <v>90.241</v>
      </c>
      <c r="AF839" s="52">
        <f t="shared" si="257"/>
        <v>4.459610072691652E-2</v>
      </c>
    </row>
    <row r="840" spans="30:32">
      <c r="AD840" s="50">
        <v>596.5</v>
      </c>
      <c r="AE840" s="51">
        <v>90.215000000000003</v>
      </c>
      <c r="AF840" s="52">
        <f t="shared" si="257"/>
        <v>4.4721246542047302E-2</v>
      </c>
    </row>
    <row r="841" spans="30:32">
      <c r="AD841" s="50">
        <v>596.4</v>
      </c>
      <c r="AE841" s="51">
        <v>90.188999999999993</v>
      </c>
      <c r="AF841" s="52">
        <f t="shared" si="257"/>
        <v>4.484642842945185E-2</v>
      </c>
    </row>
    <row r="842" spans="30:32">
      <c r="AD842" s="50">
        <v>596.29999999999995</v>
      </c>
      <c r="AE842" s="51">
        <v>90.119</v>
      </c>
      <c r="AF842" s="52">
        <f t="shared" si="257"/>
        <v>4.5183636043762195E-2</v>
      </c>
    </row>
    <row r="843" spans="30:32">
      <c r="AD843" s="50">
        <v>596.20000000000005</v>
      </c>
      <c r="AE843" s="51">
        <v>90.159000000000006</v>
      </c>
      <c r="AF843" s="52">
        <f t="shared" si="257"/>
        <v>4.4990913919474074E-2</v>
      </c>
    </row>
    <row r="844" spans="30:32">
      <c r="AD844" s="50">
        <v>596.1</v>
      </c>
      <c r="AE844" s="51">
        <v>90.143000000000001</v>
      </c>
      <c r="AF844" s="52">
        <f t="shared" si="257"/>
        <v>4.5067992506829718E-2</v>
      </c>
    </row>
    <row r="845" spans="30:32">
      <c r="AD845" s="50">
        <v>596</v>
      </c>
      <c r="AE845" s="51">
        <v>90.144000000000005</v>
      </c>
      <c r="AF845" s="52">
        <f t="shared" si="257"/>
        <v>4.5063174694320654E-2</v>
      </c>
    </row>
    <row r="846" spans="30:32">
      <c r="AD846" s="50">
        <v>595.9</v>
      </c>
      <c r="AE846" s="51">
        <v>90.16</v>
      </c>
      <c r="AF846" s="52">
        <f t="shared" si="257"/>
        <v>4.4986096961949898E-2</v>
      </c>
    </row>
    <row r="847" spans="30:32">
      <c r="AD847" s="50">
        <v>595.79999999999995</v>
      </c>
      <c r="AE847" s="51">
        <v>90.17</v>
      </c>
      <c r="AF847" s="52">
        <f t="shared" si="257"/>
        <v>4.4937930324967824E-2</v>
      </c>
    </row>
    <row r="848" spans="30:32">
      <c r="AD848" s="50">
        <v>595.70000000000005</v>
      </c>
      <c r="AE848" s="51">
        <v>90.103999999999999</v>
      </c>
      <c r="AF848" s="52">
        <f t="shared" si="257"/>
        <v>4.5255928894770057E-2</v>
      </c>
    </row>
    <row r="849" spans="30:32">
      <c r="AD849" s="50">
        <v>595.6</v>
      </c>
      <c r="AE849" s="51">
        <v>90.147999999999996</v>
      </c>
      <c r="AF849" s="52">
        <f t="shared" si="257"/>
        <v>4.5043903978727116E-2</v>
      </c>
    </row>
    <row r="850" spans="30:32">
      <c r="AD850" s="50">
        <v>595.5</v>
      </c>
      <c r="AE850" s="51">
        <v>90.177999999999997</v>
      </c>
      <c r="AF850" s="52">
        <f t="shared" si="257"/>
        <v>4.4899400861292002E-2</v>
      </c>
    </row>
    <row r="851" spans="30:32">
      <c r="AD851" s="50">
        <v>595.4</v>
      </c>
      <c r="AE851" s="51">
        <v>90.218000000000004</v>
      </c>
      <c r="AF851" s="52">
        <f t="shared" si="257"/>
        <v>4.4706804799729334E-2</v>
      </c>
    </row>
    <row r="852" spans="30:32">
      <c r="AD852" s="50">
        <v>595.29999999999995</v>
      </c>
      <c r="AE852" s="51">
        <v>90.203999999999994</v>
      </c>
      <c r="AF852" s="52">
        <f t="shared" si="257"/>
        <v>4.4774203706280088E-2</v>
      </c>
    </row>
    <row r="853" spans="30:32">
      <c r="AD853" s="50">
        <v>595.20000000000005</v>
      </c>
      <c r="AE853" s="51">
        <v>90.233000000000004</v>
      </c>
      <c r="AF853" s="52">
        <f t="shared" si="257"/>
        <v>4.4634603290803841E-2</v>
      </c>
    </row>
    <row r="854" spans="30:32">
      <c r="AD854" s="50">
        <v>595.1</v>
      </c>
      <c r="AE854" s="51">
        <v>90.195999999999998</v>
      </c>
      <c r="AF854" s="52">
        <f t="shared" si="257"/>
        <v>4.4812722063902063E-2</v>
      </c>
    </row>
    <row r="855" spans="30:32">
      <c r="AD855" s="50">
        <v>595</v>
      </c>
      <c r="AE855" s="51">
        <v>90.179000000000002</v>
      </c>
      <c r="AF855" s="52">
        <f t="shared" si="257"/>
        <v>4.4894584918668143E-2</v>
      </c>
    </row>
    <row r="856" spans="30:32">
      <c r="AD856" s="50">
        <v>594.9</v>
      </c>
      <c r="AE856" s="51">
        <v>90.19</v>
      </c>
      <c r="AF856" s="52">
        <f t="shared" si="257"/>
        <v>4.4841613074206442E-2</v>
      </c>
    </row>
    <row r="857" spans="30:32">
      <c r="AD857" s="50">
        <v>594.79999999999995</v>
      </c>
      <c r="AE857" s="51">
        <v>90.152000000000001</v>
      </c>
      <c r="AF857" s="52">
        <f t="shared" si="257"/>
        <v>4.5024634118184692E-2</v>
      </c>
    </row>
    <row r="858" spans="30:32">
      <c r="AD858" s="50">
        <v>594.70000000000005</v>
      </c>
      <c r="AE858" s="51">
        <v>90.156000000000006</v>
      </c>
      <c r="AF858" s="52">
        <f t="shared" si="257"/>
        <v>4.5005365112617553E-2</v>
      </c>
    </row>
    <row r="859" spans="30:32">
      <c r="AD859" s="50">
        <v>594.6</v>
      </c>
      <c r="AE859" s="51">
        <v>90.206999999999994</v>
      </c>
      <c r="AF859" s="52">
        <f t="shared" si="257"/>
        <v>4.4759760202881416E-2</v>
      </c>
    </row>
    <row r="860" spans="30:32">
      <c r="AD860" s="50">
        <v>594.5</v>
      </c>
      <c r="AE860" s="51">
        <v>90.192999999999998</v>
      </c>
      <c r="AF860" s="52">
        <f t="shared" si="257"/>
        <v>4.4827167328810993E-2</v>
      </c>
    </row>
    <row r="861" spans="30:32">
      <c r="AD861" s="50">
        <v>594.4</v>
      </c>
      <c r="AE861" s="51">
        <v>90.22</v>
      </c>
      <c r="AF861" s="52">
        <f t="shared" si="257"/>
        <v>4.4697177238308315E-2</v>
      </c>
    </row>
    <row r="862" spans="30:32">
      <c r="AD862" s="50">
        <v>594.29999999999995</v>
      </c>
      <c r="AE862" s="51">
        <v>90.183000000000007</v>
      </c>
      <c r="AF862" s="52">
        <f t="shared" si="257"/>
        <v>4.4875321682200375E-2</v>
      </c>
    </row>
    <row r="863" spans="30:32">
      <c r="AD863" s="50">
        <v>594.20000000000005</v>
      </c>
      <c r="AE863" s="51">
        <v>90.201999999999998</v>
      </c>
      <c r="AF863" s="52">
        <f t="shared" si="257"/>
        <v>4.4783832975415737E-2</v>
      </c>
    </row>
    <row r="864" spans="30:32">
      <c r="AD864" s="50">
        <v>594.1</v>
      </c>
      <c r="AE864" s="51">
        <v>90.200999999999993</v>
      </c>
      <c r="AF864" s="52">
        <f t="shared" si="257"/>
        <v>4.478864769004804E-2</v>
      </c>
    </row>
    <row r="865" spans="30:32">
      <c r="AD865" s="50">
        <v>594</v>
      </c>
      <c r="AE865" s="51">
        <v>90.23</v>
      </c>
      <c r="AF865" s="52">
        <f t="shared" si="257"/>
        <v>4.4649042632340152E-2</v>
      </c>
    </row>
    <row r="866" spans="30:32">
      <c r="AD866" s="50">
        <v>593.9</v>
      </c>
      <c r="AE866" s="51">
        <v>90.200999999999993</v>
      </c>
      <c r="AF866" s="52">
        <f t="shared" si="257"/>
        <v>4.478864769004804E-2</v>
      </c>
    </row>
    <row r="867" spans="30:32">
      <c r="AD867" s="50">
        <v>593.79999999999995</v>
      </c>
      <c r="AE867" s="51">
        <v>90.198999999999998</v>
      </c>
      <c r="AF867" s="52">
        <f t="shared" si="257"/>
        <v>4.4798277279447629E-2</v>
      </c>
    </row>
    <row r="868" spans="30:32">
      <c r="AD868" s="50">
        <v>593.70000000000005</v>
      </c>
      <c r="AE868" s="51">
        <v>90.174999999999997</v>
      </c>
      <c r="AF868" s="52">
        <f t="shared" si="257"/>
        <v>4.4913849009599306E-2</v>
      </c>
    </row>
    <row r="869" spans="30:32">
      <c r="AD869" s="50">
        <v>593.6</v>
      </c>
      <c r="AE869" s="51">
        <v>90.138999999999996</v>
      </c>
      <c r="AF869" s="52">
        <f t="shared" si="257"/>
        <v>4.5087264291343979E-2</v>
      </c>
    </row>
    <row r="870" spans="30:32">
      <c r="AD870" s="50">
        <v>593.5</v>
      </c>
      <c r="AE870" s="51">
        <v>90.204999999999998</v>
      </c>
      <c r="AF870" s="52">
        <f t="shared" si="257"/>
        <v>4.4769389151774377E-2</v>
      </c>
    </row>
    <row r="871" spans="30:32">
      <c r="AD871" s="50">
        <v>593.4</v>
      </c>
      <c r="AE871" s="51">
        <v>90.256</v>
      </c>
      <c r="AF871" s="52">
        <f t="shared" si="257"/>
        <v>4.4523917618681533E-2</v>
      </c>
    </row>
    <row r="872" spans="30:32">
      <c r="AD872" s="50">
        <v>593.29999999999995</v>
      </c>
      <c r="AE872" s="51">
        <v>90.271000000000001</v>
      </c>
      <c r="AF872" s="52">
        <f t="shared" si="257"/>
        <v>4.445174650584479E-2</v>
      </c>
    </row>
    <row r="873" spans="30:32">
      <c r="AD873" s="50">
        <v>593.20000000000005</v>
      </c>
      <c r="AE873" s="51">
        <v>90.227000000000004</v>
      </c>
      <c r="AF873" s="52">
        <f t="shared" si="257"/>
        <v>4.4663482453968888E-2</v>
      </c>
    </row>
    <row r="874" spans="30:32">
      <c r="AD874" s="50">
        <v>593.1</v>
      </c>
      <c r="AE874" s="51">
        <v>90.233000000000004</v>
      </c>
      <c r="AF874" s="52">
        <f t="shared" si="257"/>
        <v>4.4634603290803841E-2</v>
      </c>
    </row>
    <row r="875" spans="30:32">
      <c r="AD875" s="50">
        <v>593</v>
      </c>
      <c r="AE875" s="51">
        <v>90.224000000000004</v>
      </c>
      <c r="AF875" s="52">
        <f t="shared" si="257"/>
        <v>4.4677922755722035E-2</v>
      </c>
    </row>
    <row r="876" spans="30:32">
      <c r="AD876" s="50">
        <v>592.9</v>
      </c>
      <c r="AE876" s="51">
        <v>90.215000000000003</v>
      </c>
      <c r="AF876" s="52">
        <f t="shared" si="257"/>
        <v>4.4721246542047302E-2</v>
      </c>
    </row>
    <row r="877" spans="30:32">
      <c r="AD877" s="50">
        <v>592.79999999999995</v>
      </c>
      <c r="AE877" s="51">
        <v>90.247</v>
      </c>
      <c r="AF877" s="52">
        <f t="shared" si="257"/>
        <v>4.4567226043919564E-2</v>
      </c>
    </row>
    <row r="878" spans="30:32">
      <c r="AD878" s="50">
        <v>592.70000000000005</v>
      </c>
      <c r="AE878" s="51">
        <v>90.203999999999994</v>
      </c>
      <c r="AF878" s="52">
        <f t="shared" si="257"/>
        <v>4.4774203706280088E-2</v>
      </c>
    </row>
    <row r="879" spans="30:32">
      <c r="AD879" s="50">
        <v>592.6</v>
      </c>
      <c r="AE879" s="51">
        <v>90.248999999999995</v>
      </c>
      <c r="AF879" s="52">
        <f t="shared" si="257"/>
        <v>4.4557601576188002E-2</v>
      </c>
    </row>
    <row r="880" spans="30:32">
      <c r="AD880" s="50">
        <v>592.5</v>
      </c>
      <c r="AE880" s="51">
        <v>90.180999999999997</v>
      </c>
      <c r="AF880" s="52">
        <f t="shared" si="257"/>
        <v>4.4884953193631075E-2</v>
      </c>
    </row>
    <row r="881" spans="30:32">
      <c r="AD881" s="50">
        <v>592.4</v>
      </c>
      <c r="AE881" s="51">
        <v>90.212999999999994</v>
      </c>
      <c r="AF881" s="52">
        <f t="shared" si="257"/>
        <v>4.4730874637064072E-2</v>
      </c>
    </row>
    <row r="882" spans="30:32">
      <c r="AD882" s="50">
        <v>592.29999999999995</v>
      </c>
      <c r="AE882" s="51">
        <v>90.254000000000005</v>
      </c>
      <c r="AF882" s="52">
        <f t="shared" si="257"/>
        <v>4.4533541339958398E-2</v>
      </c>
    </row>
    <row r="883" spans="30:32">
      <c r="AD883" s="50">
        <v>592.20000000000005</v>
      </c>
      <c r="AE883" s="51">
        <v>90.173000000000002</v>
      </c>
      <c r="AF883" s="52">
        <f t="shared" si="257"/>
        <v>4.4923481375512296E-2</v>
      </c>
    </row>
    <row r="884" spans="30:32">
      <c r="AD884" s="50">
        <v>592.1</v>
      </c>
      <c r="AE884" s="51">
        <v>90.355999999999995</v>
      </c>
      <c r="AF884" s="52">
        <f t="shared" si="257"/>
        <v>4.4043003253875841E-2</v>
      </c>
    </row>
    <row r="885" spans="30:32">
      <c r="AD885" s="50">
        <v>592</v>
      </c>
      <c r="AE885" s="51">
        <v>90.284000000000006</v>
      </c>
      <c r="AF885" s="52">
        <f t="shared" si="257"/>
        <v>4.4389207907916159E-2</v>
      </c>
    </row>
    <row r="886" spans="30:32">
      <c r="AD886" s="50">
        <v>591.9</v>
      </c>
      <c r="AE886" s="51">
        <v>90.322999999999993</v>
      </c>
      <c r="AF886" s="52">
        <f t="shared" si="257"/>
        <v>4.4201646129496897E-2</v>
      </c>
    </row>
    <row r="887" spans="30:32">
      <c r="AD887" s="50">
        <v>591.79999999999995</v>
      </c>
      <c r="AE887" s="51">
        <v>90.296000000000006</v>
      </c>
      <c r="AF887" s="52">
        <f t="shared" si="257"/>
        <v>4.4331487963398378E-2</v>
      </c>
    </row>
    <row r="888" spans="30:32">
      <c r="AD888" s="50">
        <v>591.70000000000005</v>
      </c>
      <c r="AE888" s="51">
        <v>90.313000000000002</v>
      </c>
      <c r="AF888" s="52">
        <f t="shared" si="257"/>
        <v>4.4249731171498149E-2</v>
      </c>
    </row>
    <row r="889" spans="30:32">
      <c r="AD889" s="50">
        <v>591.6</v>
      </c>
      <c r="AE889" s="51">
        <v>90.31</v>
      </c>
      <c r="AF889" s="52">
        <f t="shared" si="257"/>
        <v>4.4264157722334184E-2</v>
      </c>
    </row>
    <row r="890" spans="30:32">
      <c r="AD890" s="50">
        <v>591.5</v>
      </c>
      <c r="AE890" s="51">
        <v>90.33</v>
      </c>
      <c r="AF890" s="52">
        <f t="shared" si="257"/>
        <v>4.4167989767578249E-2</v>
      </c>
    </row>
    <row r="891" spans="30:32">
      <c r="AD891" s="50">
        <v>591.4</v>
      </c>
      <c r="AE891" s="51">
        <v>90.275999999999996</v>
      </c>
      <c r="AF891" s="52">
        <f t="shared" si="257"/>
        <v>4.442769213318757E-2</v>
      </c>
    </row>
    <row r="892" spans="30:32">
      <c r="AD892" s="50">
        <v>591.29999999999995</v>
      </c>
      <c r="AE892" s="51">
        <v>90.296999999999997</v>
      </c>
      <c r="AF892" s="52">
        <f t="shared" si="257"/>
        <v>4.4326678314276863E-2</v>
      </c>
    </row>
    <row r="893" spans="30:32">
      <c r="AD893" s="50">
        <v>591.20000000000005</v>
      </c>
      <c r="AE893" s="51">
        <v>90.284999999999997</v>
      </c>
      <c r="AF893" s="52">
        <f t="shared" si="257"/>
        <v>4.4384397619528886E-2</v>
      </c>
    </row>
    <row r="894" spans="30:32">
      <c r="AD894" s="50">
        <v>591.1</v>
      </c>
      <c r="AE894" s="51">
        <v>90.307000000000002</v>
      </c>
      <c r="AF894" s="52">
        <f t="shared" si="257"/>
        <v>4.4278584752412503E-2</v>
      </c>
    </row>
    <row r="895" spans="30:32">
      <c r="AD895" s="50">
        <v>591</v>
      </c>
      <c r="AE895" s="51">
        <v>90.292000000000002</v>
      </c>
      <c r="AF895" s="52">
        <f t="shared" si="257"/>
        <v>4.4350727092553124E-2</v>
      </c>
    </row>
    <row r="896" spans="30:32">
      <c r="AD896" s="50">
        <v>590.9</v>
      </c>
      <c r="AE896" s="51">
        <v>90.298000000000002</v>
      </c>
      <c r="AF896" s="52">
        <f t="shared" si="257"/>
        <v>4.432186871841972E-2</v>
      </c>
    </row>
    <row r="897" spans="30:32">
      <c r="AD897" s="50">
        <v>590.79999999999995</v>
      </c>
      <c r="AE897" s="51">
        <v>90.308000000000007</v>
      </c>
      <c r="AF897" s="52">
        <f t="shared" si="257"/>
        <v>4.427377568913525E-2</v>
      </c>
    </row>
    <row r="898" spans="30:32">
      <c r="AD898" s="50">
        <v>590.70000000000005</v>
      </c>
      <c r="AE898" s="51">
        <v>90.277000000000001</v>
      </c>
      <c r="AF898" s="52">
        <f t="shared" si="257"/>
        <v>4.4422881418528654E-2</v>
      </c>
    </row>
    <row r="899" spans="30:32">
      <c r="AD899" s="50">
        <v>590.6</v>
      </c>
      <c r="AE899" s="51">
        <v>90.284000000000006</v>
      </c>
      <c r="AF899" s="52">
        <f t="shared" si="257"/>
        <v>4.4389207907916159E-2</v>
      </c>
    </row>
    <row r="900" spans="30:32">
      <c r="AD900" s="50">
        <v>590.5</v>
      </c>
      <c r="AE900" s="51">
        <v>90.326999999999998</v>
      </c>
      <c r="AF900" s="52">
        <f t="shared" si="257"/>
        <v>4.418241360330926E-2</v>
      </c>
    </row>
    <row r="901" spans="30:32">
      <c r="AD901" s="50">
        <v>590.4</v>
      </c>
      <c r="AE901" s="51">
        <v>90.335999999999999</v>
      </c>
      <c r="AF901" s="52">
        <f t="shared" ref="AF901:AF964" si="258">-LOG(AE901/100)</f>
        <v>4.4139143533174705E-2</v>
      </c>
    </row>
    <row r="902" spans="30:32">
      <c r="AD902" s="50">
        <v>590.29999999999995</v>
      </c>
      <c r="AE902" s="51">
        <v>90.373999999999995</v>
      </c>
      <c r="AF902" s="52">
        <f t="shared" si="258"/>
        <v>4.3956495195444936E-2</v>
      </c>
    </row>
    <row r="903" spans="30:32">
      <c r="AD903" s="50">
        <v>590.20000000000005</v>
      </c>
      <c r="AE903" s="51">
        <v>90.367999999999995</v>
      </c>
      <c r="AF903" s="52">
        <f t="shared" si="258"/>
        <v>4.3985329300327905E-2</v>
      </c>
    </row>
    <row r="904" spans="30:32">
      <c r="AD904" s="50">
        <v>590.1</v>
      </c>
      <c r="AE904" s="51">
        <v>90.34</v>
      </c>
      <c r="AF904" s="52">
        <f t="shared" si="258"/>
        <v>4.4119913774624611E-2</v>
      </c>
    </row>
    <row r="905" spans="30:32">
      <c r="AD905" s="50">
        <v>590</v>
      </c>
      <c r="AE905" s="51">
        <v>90.334999999999994</v>
      </c>
      <c r="AF905" s="52">
        <f t="shared" si="258"/>
        <v>4.4143951105855499E-2</v>
      </c>
    </row>
    <row r="906" spans="30:32">
      <c r="AD906" s="50">
        <v>589.9</v>
      </c>
      <c r="AE906" s="51">
        <v>90.308999999999997</v>
      </c>
      <c r="AF906" s="52">
        <f t="shared" si="258"/>
        <v>4.4268966679109609E-2</v>
      </c>
    </row>
    <row r="907" spans="30:32">
      <c r="AD907" s="50">
        <v>589.79999999999995</v>
      </c>
      <c r="AE907" s="51">
        <v>90.302999999999997</v>
      </c>
      <c r="AF907" s="52">
        <f t="shared" si="258"/>
        <v>4.4297821538060021E-2</v>
      </c>
    </row>
    <row r="908" spans="30:32">
      <c r="AD908" s="50">
        <v>589.70000000000005</v>
      </c>
      <c r="AE908" s="51">
        <v>90.293000000000006</v>
      </c>
      <c r="AF908" s="52">
        <f t="shared" si="258"/>
        <v>4.4345917230361853E-2</v>
      </c>
    </row>
    <row r="909" spans="30:32">
      <c r="AD909" s="50">
        <v>589.6</v>
      </c>
      <c r="AE909" s="51">
        <v>90.347999999999999</v>
      </c>
      <c r="AF909" s="52">
        <f t="shared" si="258"/>
        <v>4.4081456811710697E-2</v>
      </c>
    </row>
    <row r="910" spans="30:32">
      <c r="AD910" s="50">
        <v>589.5</v>
      </c>
      <c r="AE910" s="51">
        <v>90.341999999999999</v>
      </c>
      <c r="AF910" s="52">
        <f t="shared" si="258"/>
        <v>4.4110299214636974E-2</v>
      </c>
    </row>
    <row r="911" spans="30:32">
      <c r="AD911" s="50">
        <v>589.4</v>
      </c>
      <c r="AE911" s="51">
        <v>90.26</v>
      </c>
      <c r="AF911" s="52">
        <f t="shared" si="258"/>
        <v>4.4504670815872928E-2</v>
      </c>
    </row>
    <row r="912" spans="30:32">
      <c r="AD912" s="50">
        <v>589.29999999999995</v>
      </c>
      <c r="AE912" s="51">
        <v>90.266000000000005</v>
      </c>
      <c r="AF912" s="52">
        <f t="shared" si="258"/>
        <v>4.4475802210881106E-2</v>
      </c>
    </row>
    <row r="913" spans="30:32">
      <c r="AD913" s="50">
        <v>589.20000000000005</v>
      </c>
      <c r="AE913" s="51">
        <v>90.27</v>
      </c>
      <c r="AF913" s="52">
        <f t="shared" si="258"/>
        <v>4.4456557540257034E-2</v>
      </c>
    </row>
    <row r="914" spans="30:32">
      <c r="AD914" s="50">
        <v>589.1</v>
      </c>
      <c r="AE914" s="51">
        <v>90.319000000000003</v>
      </c>
      <c r="AF914" s="52">
        <f t="shared" si="258"/>
        <v>4.4220879507425551E-2</v>
      </c>
    </row>
    <row r="915" spans="30:32">
      <c r="AD915" s="50">
        <v>589</v>
      </c>
      <c r="AE915" s="51">
        <v>90.39</v>
      </c>
      <c r="AF915" s="52">
        <f t="shared" si="258"/>
        <v>4.3879613606980408E-2</v>
      </c>
    </row>
    <row r="916" spans="30:32">
      <c r="AD916" s="50">
        <v>588.9</v>
      </c>
      <c r="AE916" s="51">
        <v>90.388000000000005</v>
      </c>
      <c r="AF916" s="52">
        <f t="shared" si="258"/>
        <v>4.3889223061270674E-2</v>
      </c>
    </row>
    <row r="917" spans="30:32">
      <c r="AD917" s="50">
        <v>588.79999999999995</v>
      </c>
      <c r="AE917" s="51">
        <v>90.37</v>
      </c>
      <c r="AF917" s="52">
        <f t="shared" si="258"/>
        <v>4.3975717719322835E-2</v>
      </c>
    </row>
    <row r="918" spans="30:32">
      <c r="AD918" s="50">
        <v>588.70000000000005</v>
      </c>
      <c r="AE918" s="51">
        <v>90.293000000000006</v>
      </c>
      <c r="AF918" s="52">
        <f t="shared" si="258"/>
        <v>4.4345917230361853E-2</v>
      </c>
    </row>
    <row r="919" spans="30:32">
      <c r="AD919" s="50">
        <v>588.6</v>
      </c>
      <c r="AE919" s="51">
        <v>90.302000000000007</v>
      </c>
      <c r="AF919" s="52">
        <f t="shared" si="258"/>
        <v>4.4302630867612422E-2</v>
      </c>
    </row>
    <row r="920" spans="30:32">
      <c r="AD920" s="50">
        <v>588.5</v>
      </c>
      <c r="AE920" s="51">
        <v>90.36</v>
      </c>
      <c r="AF920" s="52">
        <f t="shared" si="258"/>
        <v>4.4023777751674618E-2</v>
      </c>
    </row>
    <row r="921" spans="30:32">
      <c r="AD921" s="50">
        <v>588.4</v>
      </c>
      <c r="AE921" s="51">
        <v>90.340999999999994</v>
      </c>
      <c r="AF921" s="52">
        <f t="shared" si="258"/>
        <v>4.4115106468024516E-2</v>
      </c>
    </row>
    <row r="922" spans="30:32">
      <c r="AD922" s="50">
        <v>588.29999999999995</v>
      </c>
      <c r="AE922" s="51">
        <v>90.346000000000004</v>
      </c>
      <c r="AF922" s="52">
        <f t="shared" si="258"/>
        <v>4.4091070733189415E-2</v>
      </c>
    </row>
    <row r="923" spans="30:32">
      <c r="AD923" s="50">
        <v>588.20000000000005</v>
      </c>
      <c r="AE923" s="51">
        <v>90.313000000000002</v>
      </c>
      <c r="AF923" s="52">
        <f t="shared" si="258"/>
        <v>4.4249731171498149E-2</v>
      </c>
    </row>
    <row r="924" spans="30:32">
      <c r="AD924" s="50">
        <v>588.1</v>
      </c>
      <c r="AE924" s="51">
        <v>90.274000000000001</v>
      </c>
      <c r="AF924" s="52">
        <f t="shared" si="258"/>
        <v>4.4437313722374423E-2</v>
      </c>
    </row>
    <row r="925" spans="30:32">
      <c r="AD925" s="50">
        <v>588</v>
      </c>
      <c r="AE925" s="51">
        <v>90.293999999999997</v>
      </c>
      <c r="AF925" s="52">
        <f t="shared" si="258"/>
        <v>4.434110742143977E-2</v>
      </c>
    </row>
    <row r="926" spans="30:32">
      <c r="AD926" s="50">
        <v>587.9</v>
      </c>
      <c r="AE926" s="51">
        <v>90.287000000000006</v>
      </c>
      <c r="AF926" s="52">
        <f t="shared" si="258"/>
        <v>4.4374777202588853E-2</v>
      </c>
    </row>
    <row r="927" spans="30:32">
      <c r="AD927" s="50">
        <v>587.79999999999995</v>
      </c>
      <c r="AE927" s="51">
        <v>90.3</v>
      </c>
      <c r="AF927" s="52">
        <f t="shared" si="258"/>
        <v>4.4312249686494193E-2</v>
      </c>
    </row>
    <row r="928" spans="30:32">
      <c r="AD928" s="50">
        <v>587.70000000000005</v>
      </c>
      <c r="AE928" s="51">
        <v>90.323999999999998</v>
      </c>
      <c r="AF928" s="52">
        <f t="shared" si="258"/>
        <v>4.4196837918102236E-2</v>
      </c>
    </row>
    <row r="929" spans="30:32">
      <c r="AD929" s="50">
        <v>587.6</v>
      </c>
      <c r="AE929" s="51">
        <v>90.349000000000004</v>
      </c>
      <c r="AF929" s="52">
        <f t="shared" si="258"/>
        <v>4.4076649930778408E-2</v>
      </c>
    </row>
    <row r="930" spans="30:32">
      <c r="AD930" s="50">
        <v>587.5</v>
      </c>
      <c r="AE930" s="51">
        <v>90.335999999999999</v>
      </c>
      <c r="AF930" s="52">
        <f t="shared" si="258"/>
        <v>4.4139143533174705E-2</v>
      </c>
    </row>
    <row r="931" spans="30:32">
      <c r="AD931" s="50">
        <v>587.4</v>
      </c>
      <c r="AE931" s="51">
        <v>90.328000000000003</v>
      </c>
      <c r="AF931" s="52">
        <f t="shared" si="258"/>
        <v>4.4177605604838022E-2</v>
      </c>
    </row>
    <row r="932" spans="30:32">
      <c r="AD932" s="50">
        <v>587.29999999999995</v>
      </c>
      <c r="AE932" s="51">
        <v>90.215999999999994</v>
      </c>
      <c r="AF932" s="52">
        <f t="shared" si="258"/>
        <v>4.4716432574581556E-2</v>
      </c>
    </row>
    <row r="933" spans="30:32">
      <c r="AD933" s="50">
        <v>587.20000000000005</v>
      </c>
      <c r="AE933" s="51">
        <v>90.212000000000003</v>
      </c>
      <c r="AF933" s="52">
        <f t="shared" si="258"/>
        <v>4.4735688764617414E-2</v>
      </c>
    </row>
    <row r="934" spans="30:32">
      <c r="AD934" s="50">
        <v>587.1</v>
      </c>
      <c r="AE934" s="51">
        <v>90.268000000000001</v>
      </c>
      <c r="AF934" s="52">
        <f t="shared" si="258"/>
        <v>4.4466179768971631E-2</v>
      </c>
    </row>
    <row r="935" spans="30:32">
      <c r="AD935" s="50">
        <v>587</v>
      </c>
      <c r="AE935" s="51">
        <v>90.361999999999995</v>
      </c>
      <c r="AF935" s="52">
        <f t="shared" si="258"/>
        <v>4.4014165319720092E-2</v>
      </c>
    </row>
    <row r="936" spans="30:32">
      <c r="AD936" s="50">
        <v>586.9</v>
      </c>
      <c r="AE936" s="51">
        <v>90.373999999999995</v>
      </c>
      <c r="AF936" s="52">
        <f t="shared" si="258"/>
        <v>4.3956495195444936E-2</v>
      </c>
    </row>
    <row r="937" spans="30:32">
      <c r="AD937" s="50">
        <v>586.79999999999995</v>
      </c>
      <c r="AE937" s="51">
        <v>90.363</v>
      </c>
      <c r="AF937" s="52">
        <f t="shared" si="258"/>
        <v>4.40093591835252E-2</v>
      </c>
    </row>
    <row r="938" spans="30:32">
      <c r="AD938" s="50">
        <v>586.70000000000005</v>
      </c>
      <c r="AE938" s="51">
        <v>90.34</v>
      </c>
      <c r="AF938" s="52">
        <f t="shared" si="258"/>
        <v>4.4119913774624611E-2</v>
      </c>
    </row>
    <row r="939" spans="30:32">
      <c r="AD939" s="50">
        <v>586.6</v>
      </c>
      <c r="AE939" s="51">
        <v>90.292000000000002</v>
      </c>
      <c r="AF939" s="52">
        <f t="shared" si="258"/>
        <v>4.4350727092553124E-2</v>
      </c>
    </row>
    <row r="940" spans="30:32">
      <c r="AD940" s="50">
        <v>586.5</v>
      </c>
      <c r="AE940" s="51">
        <v>90.313000000000002</v>
      </c>
      <c r="AF940" s="52">
        <f t="shared" si="258"/>
        <v>4.4249731171498149E-2</v>
      </c>
    </row>
    <row r="941" spans="30:32">
      <c r="AD941" s="50">
        <v>586.4</v>
      </c>
      <c r="AE941" s="51">
        <v>90.286000000000001</v>
      </c>
      <c r="AF941" s="52">
        <f t="shared" si="258"/>
        <v>4.437958738442014E-2</v>
      </c>
    </row>
    <row r="942" spans="30:32">
      <c r="AD942" s="50">
        <v>586.29999999999995</v>
      </c>
      <c r="AE942" s="51">
        <v>90.326999999999998</v>
      </c>
      <c r="AF942" s="52">
        <f t="shared" si="258"/>
        <v>4.418241360330926E-2</v>
      </c>
    </row>
    <row r="943" spans="30:32">
      <c r="AD943" s="50">
        <v>586.20000000000005</v>
      </c>
      <c r="AE943" s="51">
        <v>90.293000000000006</v>
      </c>
      <c r="AF943" s="52">
        <f t="shared" si="258"/>
        <v>4.4345917230361853E-2</v>
      </c>
    </row>
    <row r="944" spans="30:32">
      <c r="AD944" s="50">
        <v>586.1</v>
      </c>
      <c r="AE944" s="51">
        <v>90.233000000000004</v>
      </c>
      <c r="AF944" s="52">
        <f t="shared" si="258"/>
        <v>4.4634603290803841E-2</v>
      </c>
    </row>
    <row r="945" spans="30:32">
      <c r="AD945" s="50">
        <v>586</v>
      </c>
      <c r="AE945" s="51">
        <v>90.251999999999995</v>
      </c>
      <c r="AF945" s="52">
        <f t="shared" si="258"/>
        <v>4.4543165274496227E-2</v>
      </c>
    </row>
    <row r="946" spans="30:32">
      <c r="AD946" s="50">
        <v>585.9</v>
      </c>
      <c r="AE946" s="51">
        <v>90.265000000000001</v>
      </c>
      <c r="AF946" s="52">
        <f t="shared" si="258"/>
        <v>4.4480613511786886E-2</v>
      </c>
    </row>
    <row r="947" spans="30:32">
      <c r="AD947" s="50">
        <v>585.79999999999995</v>
      </c>
      <c r="AE947" s="51">
        <v>90.314999999999998</v>
      </c>
      <c r="AF947" s="52">
        <f t="shared" si="258"/>
        <v>4.4240113737170766E-2</v>
      </c>
    </row>
    <row r="948" spans="30:32">
      <c r="AD948" s="50">
        <v>585.70000000000005</v>
      </c>
      <c r="AE948" s="51">
        <v>90.355000000000004</v>
      </c>
      <c r="AF948" s="52">
        <f t="shared" si="258"/>
        <v>4.4047809762410475E-2</v>
      </c>
    </row>
    <row r="949" spans="30:32">
      <c r="AD949" s="50">
        <v>585.6</v>
      </c>
      <c r="AE949" s="51">
        <v>90.292000000000002</v>
      </c>
      <c r="AF949" s="52">
        <f t="shared" si="258"/>
        <v>4.4350727092553124E-2</v>
      </c>
    </row>
    <row r="950" spans="30:32">
      <c r="AD950" s="50">
        <v>585.5</v>
      </c>
      <c r="AE950" s="51">
        <v>90.32</v>
      </c>
      <c r="AF950" s="52">
        <f t="shared" si="258"/>
        <v>4.4216071083088608E-2</v>
      </c>
    </row>
    <row r="951" spans="30:32">
      <c r="AD951" s="50">
        <v>585.4</v>
      </c>
      <c r="AE951" s="51">
        <v>90.319000000000003</v>
      </c>
      <c r="AF951" s="52">
        <f t="shared" si="258"/>
        <v>4.4220879507425551E-2</v>
      </c>
    </row>
    <row r="952" spans="30:32">
      <c r="AD952" s="50">
        <v>585.29999999999995</v>
      </c>
      <c r="AE952" s="51">
        <v>90.292000000000002</v>
      </c>
      <c r="AF952" s="52">
        <f t="shared" si="258"/>
        <v>4.4350727092553124E-2</v>
      </c>
    </row>
    <row r="953" spans="30:32">
      <c r="AD953" s="50">
        <v>585.20000000000005</v>
      </c>
      <c r="AE953" s="51">
        <v>90.269000000000005</v>
      </c>
      <c r="AF953" s="52">
        <f t="shared" si="258"/>
        <v>4.4461368627965514E-2</v>
      </c>
    </row>
    <row r="954" spans="30:32">
      <c r="AD954" s="50">
        <v>585.1</v>
      </c>
      <c r="AE954" s="51">
        <v>90.308000000000007</v>
      </c>
      <c r="AF954" s="52">
        <f t="shared" si="258"/>
        <v>4.427377568913525E-2</v>
      </c>
    </row>
    <row r="955" spans="30:32">
      <c r="AD955" s="50">
        <v>585</v>
      </c>
      <c r="AE955" s="51">
        <v>90.350999999999999</v>
      </c>
      <c r="AF955" s="52">
        <f t="shared" si="258"/>
        <v>4.4067036328522262E-2</v>
      </c>
    </row>
    <row r="956" spans="30:32">
      <c r="AD956" s="50">
        <v>584.9</v>
      </c>
      <c r="AE956" s="51">
        <v>90.284000000000006</v>
      </c>
      <c r="AF956" s="52">
        <f t="shared" si="258"/>
        <v>4.4389207907916159E-2</v>
      </c>
    </row>
    <row r="957" spans="30:32">
      <c r="AD957" s="50">
        <v>584.79999999999995</v>
      </c>
      <c r="AE957" s="51">
        <v>90.275000000000006</v>
      </c>
      <c r="AF957" s="52">
        <f t="shared" si="258"/>
        <v>4.4432502901135748E-2</v>
      </c>
    </row>
    <row r="958" spans="30:32">
      <c r="AD958" s="50">
        <v>584.70000000000005</v>
      </c>
      <c r="AE958" s="51">
        <v>90.286000000000001</v>
      </c>
      <c r="AF958" s="52">
        <f t="shared" si="258"/>
        <v>4.437958738442014E-2</v>
      </c>
    </row>
    <row r="959" spans="30:32">
      <c r="AD959" s="50">
        <v>584.6</v>
      </c>
      <c r="AE959" s="51">
        <v>90.289000000000001</v>
      </c>
      <c r="AF959" s="52">
        <f t="shared" si="258"/>
        <v>4.4365156998754034E-2</v>
      </c>
    </row>
    <row r="960" spans="30:32">
      <c r="AD960" s="50">
        <v>584.5</v>
      </c>
      <c r="AE960" s="51">
        <v>90.337999999999994</v>
      </c>
      <c r="AF960" s="52">
        <f t="shared" si="258"/>
        <v>4.4129528547467378E-2</v>
      </c>
    </row>
    <row r="961" spans="30:32">
      <c r="AD961" s="50">
        <v>584.4</v>
      </c>
      <c r="AE961" s="51">
        <v>90.367999999999995</v>
      </c>
      <c r="AF961" s="52">
        <f t="shared" si="258"/>
        <v>4.3985329300327905E-2</v>
      </c>
    </row>
    <row r="962" spans="30:32">
      <c r="AD962" s="50">
        <v>584.29999999999995</v>
      </c>
      <c r="AE962" s="51">
        <v>90.375</v>
      </c>
      <c r="AF962" s="52">
        <f t="shared" si="258"/>
        <v>4.3951689697412741E-2</v>
      </c>
    </row>
    <row r="963" spans="30:32">
      <c r="AD963" s="50">
        <v>584.20000000000005</v>
      </c>
      <c r="AE963" s="51">
        <v>90.340999999999994</v>
      </c>
      <c r="AF963" s="52">
        <f t="shared" si="258"/>
        <v>4.4115106468024516E-2</v>
      </c>
    </row>
    <row r="964" spans="30:32">
      <c r="AD964" s="50">
        <v>584.1</v>
      </c>
      <c r="AE964" s="51">
        <v>90.254999999999995</v>
      </c>
      <c r="AF964" s="52">
        <f t="shared" si="258"/>
        <v>4.4528729452662959E-2</v>
      </c>
    </row>
    <row r="965" spans="30:32">
      <c r="AD965" s="50">
        <v>584</v>
      </c>
      <c r="AE965" s="51">
        <v>90.227000000000004</v>
      </c>
      <c r="AF965" s="52">
        <f t="shared" ref="AF965:AF1028" si="259">-LOG(AE965/100)</f>
        <v>4.4663482453968888E-2</v>
      </c>
    </row>
    <row r="966" spans="30:32">
      <c r="AD966" s="50">
        <v>583.9</v>
      </c>
      <c r="AE966" s="51">
        <v>90.245000000000005</v>
      </c>
      <c r="AF966" s="52">
        <f t="shared" si="259"/>
        <v>4.4576850724945181E-2</v>
      </c>
    </row>
    <row r="967" spans="30:32">
      <c r="AD967" s="50">
        <v>583.79999999999995</v>
      </c>
      <c r="AE967" s="51">
        <v>90.284999999999997</v>
      </c>
      <c r="AF967" s="52">
        <f t="shared" si="259"/>
        <v>4.4384397619528886E-2</v>
      </c>
    </row>
    <row r="968" spans="30:32">
      <c r="AD968" s="50">
        <v>583.70000000000005</v>
      </c>
      <c r="AE968" s="51">
        <v>90.316999999999993</v>
      </c>
      <c r="AF968" s="52">
        <f t="shared" si="259"/>
        <v>4.4230496515816432E-2</v>
      </c>
    </row>
    <row r="969" spans="30:32">
      <c r="AD969" s="50">
        <v>583.6</v>
      </c>
      <c r="AE969" s="51">
        <v>90.308999999999997</v>
      </c>
      <c r="AF969" s="52">
        <f t="shared" si="259"/>
        <v>4.4268966679109609E-2</v>
      </c>
    </row>
    <row r="970" spans="30:32">
      <c r="AD970" s="50">
        <v>583.5</v>
      </c>
      <c r="AE970" s="51">
        <v>90.34</v>
      </c>
      <c r="AF970" s="52">
        <f t="shared" si="259"/>
        <v>4.4119913774624611E-2</v>
      </c>
    </row>
    <row r="971" spans="30:32">
      <c r="AD971" s="50">
        <v>583.4</v>
      </c>
      <c r="AE971" s="51">
        <v>90.311000000000007</v>
      </c>
      <c r="AF971" s="52">
        <f t="shared" si="259"/>
        <v>4.4259348818807893E-2</v>
      </c>
    </row>
    <row r="972" spans="30:32">
      <c r="AD972" s="50">
        <v>583.29999999999995</v>
      </c>
      <c r="AE972" s="51">
        <v>90.3</v>
      </c>
      <c r="AF972" s="52">
        <f t="shared" si="259"/>
        <v>4.4312249686494193E-2</v>
      </c>
    </row>
    <row r="973" spans="30:32">
      <c r="AD973" s="50">
        <v>583.20000000000005</v>
      </c>
      <c r="AE973" s="51">
        <v>90.325000000000003</v>
      </c>
      <c r="AF973" s="52">
        <f t="shared" si="259"/>
        <v>4.419202975994016E-2</v>
      </c>
    </row>
    <row r="974" spans="30:32">
      <c r="AD974" s="50">
        <v>583.1</v>
      </c>
      <c r="AE974" s="51">
        <v>90.367000000000004</v>
      </c>
      <c r="AF974" s="52">
        <f t="shared" si="259"/>
        <v>4.3990135170600971E-2</v>
      </c>
    </row>
    <row r="975" spans="30:32">
      <c r="AD975" s="50">
        <v>583</v>
      </c>
      <c r="AE975" s="51">
        <v>90.317999999999998</v>
      </c>
      <c r="AF975" s="52">
        <f t="shared" si="259"/>
        <v>4.4225687985001136E-2</v>
      </c>
    </row>
    <row r="976" spans="30:32">
      <c r="AD976" s="50">
        <v>582.9</v>
      </c>
      <c r="AE976" s="51">
        <v>90.317999999999998</v>
      </c>
      <c r="AF976" s="52">
        <f t="shared" si="259"/>
        <v>4.4225687985001136E-2</v>
      </c>
    </row>
    <row r="977" spans="30:32">
      <c r="AD977" s="50">
        <v>582.79999999999995</v>
      </c>
      <c r="AE977" s="51">
        <v>90.301000000000002</v>
      </c>
      <c r="AF977" s="52">
        <f t="shared" si="259"/>
        <v>4.4307440250423456E-2</v>
      </c>
    </row>
    <row r="978" spans="30:32">
      <c r="AD978" s="50">
        <v>582.70000000000005</v>
      </c>
      <c r="AE978" s="51">
        <v>90.275000000000006</v>
      </c>
      <c r="AF978" s="52">
        <f t="shared" si="259"/>
        <v>4.4432502901135748E-2</v>
      </c>
    </row>
    <row r="979" spans="30:32">
      <c r="AD979" s="50">
        <v>582.6</v>
      </c>
      <c r="AE979" s="51">
        <v>90.245999999999995</v>
      </c>
      <c r="AF979" s="52">
        <f t="shared" si="259"/>
        <v>4.4572038357770079E-2</v>
      </c>
    </row>
    <row r="980" spans="30:32">
      <c r="AD980" s="50">
        <v>582.5</v>
      </c>
      <c r="AE980" s="51">
        <v>90.325999999999993</v>
      </c>
      <c r="AF980" s="52">
        <f t="shared" si="259"/>
        <v>4.4187221655009594E-2</v>
      </c>
    </row>
    <row r="981" spans="30:32">
      <c r="AD981" s="50">
        <v>582.4</v>
      </c>
      <c r="AE981" s="51">
        <v>90.337999999999994</v>
      </c>
      <c r="AF981" s="52">
        <f t="shared" si="259"/>
        <v>4.4129528547467378E-2</v>
      </c>
    </row>
    <row r="982" spans="30:32">
      <c r="AD982" s="50">
        <v>582.29999999999995</v>
      </c>
      <c r="AE982" s="51">
        <v>90.331000000000003</v>
      </c>
      <c r="AF982" s="52">
        <f t="shared" si="259"/>
        <v>4.4163181928787251E-2</v>
      </c>
    </row>
    <row r="983" spans="30:32">
      <c r="AD983" s="50">
        <v>582.20000000000005</v>
      </c>
      <c r="AE983" s="51">
        <v>90.325999999999993</v>
      </c>
      <c r="AF983" s="52">
        <f t="shared" si="259"/>
        <v>4.4187221655009594E-2</v>
      </c>
    </row>
    <row r="984" spans="30:32">
      <c r="AD984" s="50">
        <v>582.1</v>
      </c>
      <c r="AE984" s="51">
        <v>90.251000000000005</v>
      </c>
      <c r="AF984" s="52">
        <f t="shared" si="259"/>
        <v>4.4547977321740935E-2</v>
      </c>
    </row>
    <row r="985" spans="30:32">
      <c r="AD985" s="50">
        <v>582</v>
      </c>
      <c r="AE985" s="51">
        <v>90.251999999999995</v>
      </c>
      <c r="AF985" s="52">
        <f t="shared" si="259"/>
        <v>4.4543165274496227E-2</v>
      </c>
    </row>
    <row r="986" spans="30:32">
      <c r="AD986" s="50">
        <v>581.9</v>
      </c>
      <c r="AE986" s="51">
        <v>90.265000000000001</v>
      </c>
      <c r="AF986" s="52">
        <f t="shared" si="259"/>
        <v>4.4480613511786886E-2</v>
      </c>
    </row>
    <row r="987" spans="30:32">
      <c r="AD987" s="50">
        <v>581.79999999999995</v>
      </c>
      <c r="AE987" s="51">
        <v>90.292000000000002</v>
      </c>
      <c r="AF987" s="52">
        <f t="shared" si="259"/>
        <v>4.4350727092553124E-2</v>
      </c>
    </row>
    <row r="988" spans="30:32">
      <c r="AD988" s="50">
        <v>581.70000000000005</v>
      </c>
      <c r="AE988" s="51">
        <v>90.290999999999997</v>
      </c>
      <c r="AF988" s="52">
        <f t="shared" si="259"/>
        <v>4.4355537008014832E-2</v>
      </c>
    </row>
    <row r="989" spans="30:32">
      <c r="AD989" s="50">
        <v>581.6</v>
      </c>
      <c r="AE989" s="51">
        <v>90.29</v>
      </c>
      <c r="AF989" s="52">
        <f t="shared" si="259"/>
        <v>4.4360346976748039E-2</v>
      </c>
    </row>
    <row r="990" spans="30:32">
      <c r="AD990" s="50">
        <v>581.5</v>
      </c>
      <c r="AE990" s="51">
        <v>90.29</v>
      </c>
      <c r="AF990" s="52">
        <f t="shared" si="259"/>
        <v>4.4360346976748039E-2</v>
      </c>
    </row>
    <row r="991" spans="30:32">
      <c r="AD991" s="50">
        <v>581.4</v>
      </c>
      <c r="AE991" s="51">
        <v>90.224000000000004</v>
      </c>
      <c r="AF991" s="52">
        <f t="shared" si="259"/>
        <v>4.4677922755722035E-2</v>
      </c>
    </row>
    <row r="992" spans="30:32">
      <c r="AD992" s="50">
        <v>581.29999999999995</v>
      </c>
      <c r="AE992" s="51">
        <v>90.257999999999996</v>
      </c>
      <c r="AF992" s="52">
        <f t="shared" si="259"/>
        <v>4.4514294110656251E-2</v>
      </c>
    </row>
    <row r="993" spans="30:32">
      <c r="AD993" s="50">
        <v>581.20000000000005</v>
      </c>
      <c r="AE993" s="51">
        <v>90.302000000000007</v>
      </c>
      <c r="AF993" s="52">
        <f t="shared" si="259"/>
        <v>4.4302630867612422E-2</v>
      </c>
    </row>
    <row r="994" spans="30:32">
      <c r="AD994" s="50">
        <v>581.1</v>
      </c>
      <c r="AE994" s="51">
        <v>90.325999999999993</v>
      </c>
      <c r="AF994" s="52">
        <f t="shared" si="259"/>
        <v>4.4187221655009594E-2</v>
      </c>
    </row>
    <row r="995" spans="30:32">
      <c r="AD995" s="50">
        <v>581</v>
      </c>
      <c r="AE995" s="51">
        <v>90.332999999999998</v>
      </c>
      <c r="AF995" s="52">
        <f t="shared" si="259"/>
        <v>4.4153566410877337E-2</v>
      </c>
    </row>
    <row r="996" spans="30:32">
      <c r="AD996" s="50">
        <v>580.9</v>
      </c>
      <c r="AE996" s="51">
        <v>90.289000000000001</v>
      </c>
      <c r="AF996" s="52">
        <f t="shared" si="259"/>
        <v>4.4365156998754034E-2</v>
      </c>
    </row>
    <row r="997" spans="30:32">
      <c r="AD997" s="50">
        <v>580.79999999999995</v>
      </c>
      <c r="AE997" s="51">
        <v>90.221000000000004</v>
      </c>
      <c r="AF997" s="52">
        <f t="shared" si="259"/>
        <v>4.4692363537631521E-2</v>
      </c>
    </row>
    <row r="998" spans="30:32">
      <c r="AD998" s="50">
        <v>580.70000000000005</v>
      </c>
      <c r="AE998" s="51">
        <v>90.203999999999994</v>
      </c>
      <c r="AF998" s="52">
        <f t="shared" si="259"/>
        <v>4.4774203706280088E-2</v>
      </c>
    </row>
    <row r="999" spans="30:32">
      <c r="AD999" s="50">
        <v>580.6</v>
      </c>
      <c r="AE999" s="51">
        <v>90.245000000000005</v>
      </c>
      <c r="AF999" s="52">
        <f t="shared" si="259"/>
        <v>4.4576850724945181E-2</v>
      </c>
    </row>
    <row r="1000" spans="30:32">
      <c r="AD1000" s="50">
        <v>580.5</v>
      </c>
      <c r="AE1000" s="51">
        <v>90.277000000000001</v>
      </c>
      <c r="AF1000" s="52">
        <f t="shared" si="259"/>
        <v>4.4422881418528654E-2</v>
      </c>
    </row>
    <row r="1001" spans="30:32">
      <c r="AD1001" s="50">
        <v>580.4</v>
      </c>
      <c r="AE1001" s="51">
        <v>90.302000000000007</v>
      </c>
      <c r="AF1001" s="52">
        <f t="shared" si="259"/>
        <v>4.4302630867612422E-2</v>
      </c>
    </row>
    <row r="1002" spans="30:32">
      <c r="AD1002" s="50">
        <v>580.29999999999995</v>
      </c>
      <c r="AE1002" s="51">
        <v>90.322999999999993</v>
      </c>
      <c r="AF1002" s="52">
        <f t="shared" si="259"/>
        <v>4.4201646129496897E-2</v>
      </c>
    </row>
    <row r="1003" spans="30:32">
      <c r="AD1003" s="50">
        <v>580.20000000000005</v>
      </c>
      <c r="AE1003" s="51">
        <v>90.311000000000007</v>
      </c>
      <c r="AF1003" s="52">
        <f t="shared" si="259"/>
        <v>4.4259348818807893E-2</v>
      </c>
    </row>
    <row r="1004" spans="30:32">
      <c r="AD1004" s="50">
        <v>580.1</v>
      </c>
      <c r="AE1004" s="51">
        <v>90.27</v>
      </c>
      <c r="AF1004" s="52">
        <f t="shared" si="259"/>
        <v>4.4456557540257034E-2</v>
      </c>
    </row>
    <row r="1005" spans="30:32">
      <c r="AD1005" s="50">
        <v>580</v>
      </c>
      <c r="AE1005" s="51">
        <v>90.283000000000001</v>
      </c>
      <c r="AF1005" s="52">
        <f t="shared" si="259"/>
        <v>4.4394018249583361E-2</v>
      </c>
    </row>
    <row r="1006" spans="30:32">
      <c r="AD1006" s="50">
        <v>579.9</v>
      </c>
      <c r="AE1006" s="51">
        <v>90.284999999999997</v>
      </c>
      <c r="AF1006" s="52">
        <f t="shared" si="259"/>
        <v>4.4384397619528886E-2</v>
      </c>
    </row>
    <row r="1007" spans="30:32">
      <c r="AD1007" s="50">
        <v>579.79999999999995</v>
      </c>
      <c r="AE1007" s="51">
        <v>90.284000000000006</v>
      </c>
      <c r="AF1007" s="52">
        <f t="shared" si="259"/>
        <v>4.4389207907916159E-2</v>
      </c>
    </row>
    <row r="1008" spans="30:32">
      <c r="AD1008" s="50">
        <v>579.70000000000005</v>
      </c>
      <c r="AE1008" s="51">
        <v>90.284000000000006</v>
      </c>
      <c r="AF1008" s="52">
        <f t="shared" si="259"/>
        <v>4.4389207907916159E-2</v>
      </c>
    </row>
    <row r="1009" spans="30:32">
      <c r="AD1009" s="50">
        <v>579.6</v>
      </c>
      <c r="AE1009" s="51">
        <v>90.218999999999994</v>
      </c>
      <c r="AF1009" s="52">
        <f t="shared" si="259"/>
        <v>4.470199099234054E-2</v>
      </c>
    </row>
    <row r="1010" spans="30:32">
      <c r="AD1010" s="50">
        <v>579.5</v>
      </c>
      <c r="AE1010" s="51">
        <v>90.203000000000003</v>
      </c>
      <c r="AF1010" s="52">
        <f t="shared" si="259"/>
        <v>4.4779018314160111E-2</v>
      </c>
    </row>
    <row r="1011" spans="30:32">
      <c r="AD1011" s="50">
        <v>579.4</v>
      </c>
      <c r="AE1011" s="51">
        <v>90.253</v>
      </c>
      <c r="AF1011" s="52">
        <f t="shared" si="259"/>
        <v>4.4538353280569071E-2</v>
      </c>
    </row>
    <row r="1012" spans="30:32">
      <c r="AD1012" s="50">
        <v>579.29999999999995</v>
      </c>
      <c r="AE1012" s="51">
        <v>90.281000000000006</v>
      </c>
      <c r="AF1012" s="52">
        <f t="shared" si="259"/>
        <v>4.4403639092761821E-2</v>
      </c>
    </row>
    <row r="1013" spans="30:32">
      <c r="AD1013" s="50">
        <v>579.20000000000005</v>
      </c>
      <c r="AE1013" s="51">
        <v>90.323999999999998</v>
      </c>
      <c r="AF1013" s="52">
        <f t="shared" si="259"/>
        <v>4.4196837918102236E-2</v>
      </c>
    </row>
    <row r="1014" spans="30:32">
      <c r="AD1014" s="50">
        <v>579.1</v>
      </c>
      <c r="AE1014" s="51">
        <v>90.337999999999994</v>
      </c>
      <c r="AF1014" s="52">
        <f t="shared" si="259"/>
        <v>4.4129528547467378E-2</v>
      </c>
    </row>
    <row r="1015" spans="30:32">
      <c r="AD1015" s="50">
        <v>579</v>
      </c>
      <c r="AE1015" s="51">
        <v>90.364999999999995</v>
      </c>
      <c r="AF1015" s="52">
        <f t="shared" si="259"/>
        <v>4.3999747070694449E-2</v>
      </c>
    </row>
    <row r="1016" spans="30:32">
      <c r="AD1016" s="50">
        <v>578.9</v>
      </c>
      <c r="AE1016" s="51">
        <v>90.33</v>
      </c>
      <c r="AF1016" s="52">
        <f t="shared" si="259"/>
        <v>4.4167989767578249E-2</v>
      </c>
    </row>
    <row r="1017" spans="30:32">
      <c r="AD1017" s="50">
        <v>578.79999999999995</v>
      </c>
      <c r="AE1017" s="51">
        <v>90.283000000000001</v>
      </c>
      <c r="AF1017" s="52">
        <f t="shared" si="259"/>
        <v>4.4394018249583361E-2</v>
      </c>
    </row>
    <row r="1018" spans="30:32">
      <c r="AD1018" s="50">
        <v>578.70000000000005</v>
      </c>
      <c r="AE1018" s="51">
        <v>90.247</v>
      </c>
      <c r="AF1018" s="52">
        <f t="shared" si="259"/>
        <v>4.4567226043919564E-2</v>
      </c>
    </row>
    <row r="1019" spans="30:32">
      <c r="AD1019" s="50">
        <v>578.6</v>
      </c>
      <c r="AE1019" s="51">
        <v>90.268000000000001</v>
      </c>
      <c r="AF1019" s="52">
        <f t="shared" si="259"/>
        <v>4.4466179768971631E-2</v>
      </c>
    </row>
    <row r="1020" spans="30:32">
      <c r="AD1020" s="50">
        <v>578.5</v>
      </c>
      <c r="AE1020" s="51">
        <v>90.293999999999997</v>
      </c>
      <c r="AF1020" s="52">
        <f t="shared" si="259"/>
        <v>4.434110742143977E-2</v>
      </c>
    </row>
    <row r="1021" spans="30:32">
      <c r="AD1021" s="50">
        <v>578.4</v>
      </c>
      <c r="AE1021" s="51">
        <v>90.281999999999996</v>
      </c>
      <c r="AF1021" s="52">
        <f t="shared" si="259"/>
        <v>4.4398828644531554E-2</v>
      </c>
    </row>
    <row r="1022" spans="30:32">
      <c r="AD1022" s="50">
        <v>578.29999999999995</v>
      </c>
      <c r="AE1022" s="51">
        <v>90.32</v>
      </c>
      <c r="AF1022" s="52">
        <f t="shared" si="259"/>
        <v>4.4216071083088608E-2</v>
      </c>
    </row>
    <row r="1023" spans="30:32">
      <c r="AD1023" s="50">
        <v>578.20000000000005</v>
      </c>
      <c r="AE1023" s="51">
        <v>90.203999999999994</v>
      </c>
      <c r="AF1023" s="52">
        <f t="shared" si="259"/>
        <v>4.4774203706280088E-2</v>
      </c>
    </row>
    <row r="1024" spans="30:32">
      <c r="AD1024" s="50">
        <v>578.1</v>
      </c>
      <c r="AE1024" s="51">
        <v>90.253</v>
      </c>
      <c r="AF1024" s="52">
        <f t="shared" si="259"/>
        <v>4.4538353280569071E-2</v>
      </c>
    </row>
    <row r="1025" spans="30:32">
      <c r="AD1025" s="50">
        <v>578</v>
      </c>
      <c r="AE1025" s="51">
        <v>90.257000000000005</v>
      </c>
      <c r="AF1025" s="52">
        <f t="shared" si="259"/>
        <v>4.4519105838012989E-2</v>
      </c>
    </row>
    <row r="1026" spans="30:32">
      <c r="AD1026" s="50">
        <v>577.9</v>
      </c>
      <c r="AE1026" s="51">
        <v>90.343000000000004</v>
      </c>
      <c r="AF1026" s="52">
        <f t="shared" si="259"/>
        <v>4.4105492014460866E-2</v>
      </c>
    </row>
    <row r="1027" spans="30:32">
      <c r="AD1027" s="50">
        <v>577.79999999999995</v>
      </c>
      <c r="AE1027" s="51">
        <v>90.307000000000002</v>
      </c>
      <c r="AF1027" s="52">
        <f t="shared" si="259"/>
        <v>4.4278584752412503E-2</v>
      </c>
    </row>
    <row r="1028" spans="30:32">
      <c r="AD1028" s="50">
        <v>577.70000000000005</v>
      </c>
      <c r="AE1028" s="51">
        <v>90.334000000000003</v>
      </c>
      <c r="AF1028" s="52">
        <f t="shared" si="259"/>
        <v>4.4148758731755965E-2</v>
      </c>
    </row>
    <row r="1029" spans="30:32">
      <c r="AD1029" s="50">
        <v>577.6</v>
      </c>
      <c r="AE1029" s="51">
        <v>90.257000000000005</v>
      </c>
      <c r="AF1029" s="52">
        <f t="shared" ref="AF1029:AF1092" si="260">-LOG(AE1029/100)</f>
        <v>4.4519105838012989E-2</v>
      </c>
    </row>
    <row r="1030" spans="30:32">
      <c r="AD1030" s="50">
        <v>577.5</v>
      </c>
      <c r="AE1030" s="51">
        <v>90.242000000000004</v>
      </c>
      <c r="AF1030" s="52">
        <f t="shared" si="260"/>
        <v>4.4591288146430756E-2</v>
      </c>
    </row>
    <row r="1031" spans="30:32">
      <c r="AD1031" s="50">
        <v>577.4</v>
      </c>
      <c r="AE1031" s="51">
        <v>90.251999999999995</v>
      </c>
      <c r="AF1031" s="52">
        <f t="shared" si="260"/>
        <v>4.4543165274496227E-2</v>
      </c>
    </row>
    <row r="1032" spans="30:32">
      <c r="AD1032" s="50">
        <v>577.29999999999995</v>
      </c>
      <c r="AE1032" s="51">
        <v>90.206999999999994</v>
      </c>
      <c r="AF1032" s="52">
        <f t="shared" si="260"/>
        <v>4.4759760202881416E-2</v>
      </c>
    </row>
    <row r="1033" spans="30:32">
      <c r="AD1033" s="50">
        <v>577.20000000000005</v>
      </c>
      <c r="AE1033" s="51">
        <v>90.245999999999995</v>
      </c>
      <c r="AF1033" s="52">
        <f t="shared" si="260"/>
        <v>4.4572038357770079E-2</v>
      </c>
    </row>
    <row r="1034" spans="30:32">
      <c r="AD1034" s="50">
        <v>577.1</v>
      </c>
      <c r="AE1034" s="51">
        <v>90.292000000000002</v>
      </c>
      <c r="AF1034" s="52">
        <f t="shared" si="260"/>
        <v>4.4350727092553124E-2</v>
      </c>
    </row>
    <row r="1035" spans="30:32">
      <c r="AD1035" s="50">
        <v>577</v>
      </c>
      <c r="AE1035" s="51">
        <v>90.284000000000006</v>
      </c>
      <c r="AF1035" s="52">
        <f t="shared" si="260"/>
        <v>4.4389207907916159E-2</v>
      </c>
    </row>
    <row r="1036" spans="30:32">
      <c r="AD1036" s="50">
        <v>576.9</v>
      </c>
      <c r="AE1036" s="51">
        <v>90.269000000000005</v>
      </c>
      <c r="AF1036" s="52">
        <f t="shared" si="260"/>
        <v>4.4461368627965514E-2</v>
      </c>
    </row>
    <row r="1037" spans="30:32">
      <c r="AD1037" s="50">
        <v>576.79999999999995</v>
      </c>
      <c r="AE1037" s="51">
        <v>90.245000000000005</v>
      </c>
      <c r="AF1037" s="52">
        <f t="shared" si="260"/>
        <v>4.4576850724945181E-2</v>
      </c>
    </row>
    <row r="1038" spans="30:32">
      <c r="AD1038" s="50">
        <v>576.70000000000005</v>
      </c>
      <c r="AE1038" s="51">
        <v>90.269000000000005</v>
      </c>
      <c r="AF1038" s="52">
        <f t="shared" si="260"/>
        <v>4.4461368627965514E-2</v>
      </c>
    </row>
    <row r="1039" spans="30:32">
      <c r="AD1039" s="50">
        <v>576.6</v>
      </c>
      <c r="AE1039" s="51">
        <v>90.265000000000001</v>
      </c>
      <c r="AF1039" s="52">
        <f t="shared" si="260"/>
        <v>4.4480613511786886E-2</v>
      </c>
    </row>
    <row r="1040" spans="30:32">
      <c r="AD1040" s="50">
        <v>576.5</v>
      </c>
      <c r="AE1040" s="51">
        <v>90.295000000000002</v>
      </c>
      <c r="AF1040" s="52">
        <f t="shared" si="260"/>
        <v>4.4336297665785659E-2</v>
      </c>
    </row>
    <row r="1041" spans="30:32">
      <c r="AD1041" s="50">
        <v>576.4</v>
      </c>
      <c r="AE1041" s="51">
        <v>90.263999999999996</v>
      </c>
      <c r="AF1041" s="52">
        <f t="shared" si="260"/>
        <v>4.4485424865994862E-2</v>
      </c>
    </row>
    <row r="1042" spans="30:32">
      <c r="AD1042" s="50">
        <v>576.29999999999995</v>
      </c>
      <c r="AE1042" s="51">
        <v>90.26</v>
      </c>
      <c r="AF1042" s="52">
        <f t="shared" si="260"/>
        <v>4.4504670815872928E-2</v>
      </c>
    </row>
    <row r="1043" spans="30:32">
      <c r="AD1043" s="50">
        <v>576.20000000000005</v>
      </c>
      <c r="AE1043" s="51">
        <v>90.228999999999999</v>
      </c>
      <c r="AF1043" s="52">
        <f t="shared" si="260"/>
        <v>4.465385585287119E-2</v>
      </c>
    </row>
    <row r="1044" spans="30:32">
      <c r="AD1044" s="50">
        <v>576.1</v>
      </c>
      <c r="AE1044" s="51">
        <v>90.218999999999994</v>
      </c>
      <c r="AF1044" s="52">
        <f t="shared" si="260"/>
        <v>4.470199099234054E-2</v>
      </c>
    </row>
    <row r="1045" spans="30:32">
      <c r="AD1045" s="50">
        <v>576</v>
      </c>
      <c r="AE1045" s="51">
        <v>90.278000000000006</v>
      </c>
      <c r="AF1045" s="52">
        <f t="shared" si="260"/>
        <v>4.4418070757157764E-2</v>
      </c>
    </row>
    <row r="1046" spans="30:32">
      <c r="AD1046" s="50">
        <v>575.9</v>
      </c>
      <c r="AE1046" s="51">
        <v>90.314999999999998</v>
      </c>
      <c r="AF1046" s="52">
        <f t="shared" si="260"/>
        <v>4.4240113737170766E-2</v>
      </c>
    </row>
    <row r="1047" spans="30:32">
      <c r="AD1047" s="50">
        <v>575.79999999999995</v>
      </c>
      <c r="AE1047" s="51">
        <v>90.346000000000004</v>
      </c>
      <c r="AF1047" s="52">
        <f t="shared" si="260"/>
        <v>4.4091070733189415E-2</v>
      </c>
    </row>
    <row r="1048" spans="30:32">
      <c r="AD1048" s="50">
        <v>575.70000000000005</v>
      </c>
      <c r="AE1048" s="51">
        <v>90.287999999999997</v>
      </c>
      <c r="AF1048" s="52">
        <f t="shared" si="260"/>
        <v>4.43699670740339E-2</v>
      </c>
    </row>
    <row r="1049" spans="30:32">
      <c r="AD1049" s="50">
        <v>575.6</v>
      </c>
      <c r="AE1049" s="51">
        <v>90.295000000000002</v>
      </c>
      <c r="AF1049" s="52">
        <f t="shared" si="260"/>
        <v>4.4336297665785659E-2</v>
      </c>
    </row>
    <row r="1050" spans="30:32">
      <c r="AD1050" s="50">
        <v>575.5</v>
      </c>
      <c r="AE1050" s="51">
        <v>90.245999999999995</v>
      </c>
      <c r="AF1050" s="52">
        <f t="shared" si="260"/>
        <v>4.4572038357770079E-2</v>
      </c>
    </row>
    <row r="1051" spans="30:32">
      <c r="AD1051" s="50">
        <v>575.4</v>
      </c>
      <c r="AE1051" s="51">
        <v>90.278000000000006</v>
      </c>
      <c r="AF1051" s="52">
        <f t="shared" si="260"/>
        <v>4.4418070757157764E-2</v>
      </c>
    </row>
    <row r="1052" spans="30:32">
      <c r="AD1052" s="50">
        <v>575.29999999999995</v>
      </c>
      <c r="AE1052" s="51">
        <v>90.269000000000005</v>
      </c>
      <c r="AF1052" s="52">
        <f t="shared" si="260"/>
        <v>4.4461368627965514E-2</v>
      </c>
    </row>
    <row r="1053" spans="30:32">
      <c r="AD1053" s="50">
        <v>575.20000000000005</v>
      </c>
      <c r="AE1053" s="51">
        <v>90.337000000000003</v>
      </c>
      <c r="AF1053" s="52">
        <f t="shared" si="260"/>
        <v>4.4134336013712354E-2</v>
      </c>
    </row>
    <row r="1054" spans="30:32">
      <c r="AD1054" s="50">
        <v>575.1</v>
      </c>
      <c r="AE1054" s="51">
        <v>90.301000000000002</v>
      </c>
      <c r="AF1054" s="52">
        <f t="shared" si="260"/>
        <v>4.4307440250423456E-2</v>
      </c>
    </row>
    <row r="1055" spans="30:32">
      <c r="AD1055" s="50">
        <v>575</v>
      </c>
      <c r="AE1055" s="51">
        <v>90.253</v>
      </c>
      <c r="AF1055" s="52">
        <f t="shared" si="260"/>
        <v>4.4538353280569071E-2</v>
      </c>
    </row>
    <row r="1056" spans="30:32">
      <c r="AD1056" s="50">
        <v>574.9</v>
      </c>
      <c r="AE1056" s="51">
        <v>90.245999999999995</v>
      </c>
      <c r="AF1056" s="52">
        <f t="shared" si="260"/>
        <v>4.4572038357770079E-2</v>
      </c>
    </row>
    <row r="1057" spans="30:32">
      <c r="AD1057" s="50">
        <v>574.79999999999995</v>
      </c>
      <c r="AE1057" s="51">
        <v>90.247</v>
      </c>
      <c r="AF1057" s="52">
        <f t="shared" si="260"/>
        <v>4.4567226043919564E-2</v>
      </c>
    </row>
    <row r="1058" spans="30:32">
      <c r="AD1058" s="50">
        <v>574.70000000000005</v>
      </c>
      <c r="AE1058" s="51">
        <v>90.289000000000001</v>
      </c>
      <c r="AF1058" s="52">
        <f t="shared" si="260"/>
        <v>4.4365156998754034E-2</v>
      </c>
    </row>
    <row r="1059" spans="30:32">
      <c r="AD1059" s="50">
        <v>574.6</v>
      </c>
      <c r="AE1059" s="51">
        <v>90.325000000000003</v>
      </c>
      <c r="AF1059" s="52">
        <f t="shared" si="260"/>
        <v>4.419202975994016E-2</v>
      </c>
    </row>
    <row r="1060" spans="30:32">
      <c r="AD1060" s="50">
        <v>574.5</v>
      </c>
      <c r="AE1060" s="51">
        <v>90.28</v>
      </c>
      <c r="AF1060" s="52">
        <f t="shared" si="260"/>
        <v>4.4408449594275555E-2</v>
      </c>
    </row>
    <row r="1061" spans="30:32">
      <c r="AD1061" s="50">
        <v>574.4</v>
      </c>
      <c r="AE1061" s="51">
        <v>90.287000000000006</v>
      </c>
      <c r="AF1061" s="52">
        <f t="shared" si="260"/>
        <v>4.4374777202588853E-2</v>
      </c>
    </row>
    <row r="1062" spans="30:32">
      <c r="AD1062" s="50">
        <v>574.29999999999995</v>
      </c>
      <c r="AE1062" s="51">
        <v>90.263000000000005</v>
      </c>
      <c r="AF1062" s="52">
        <f t="shared" si="260"/>
        <v>4.4490236273506269E-2</v>
      </c>
    </row>
    <row r="1063" spans="30:32">
      <c r="AD1063" s="50">
        <v>574.20000000000005</v>
      </c>
      <c r="AE1063" s="51">
        <v>90.251000000000005</v>
      </c>
      <c r="AF1063" s="52">
        <f t="shared" si="260"/>
        <v>4.4547977321740935E-2</v>
      </c>
    </row>
    <row r="1064" spans="30:32">
      <c r="AD1064" s="50">
        <v>574.1</v>
      </c>
      <c r="AE1064" s="51">
        <v>90.245999999999995</v>
      </c>
      <c r="AF1064" s="52">
        <f t="shared" si="260"/>
        <v>4.4572038357770079E-2</v>
      </c>
    </row>
    <row r="1065" spans="30:32">
      <c r="AD1065" s="50">
        <v>574</v>
      </c>
      <c r="AE1065" s="51">
        <v>90.26</v>
      </c>
      <c r="AF1065" s="52">
        <f t="shared" si="260"/>
        <v>4.4504670815872928E-2</v>
      </c>
    </row>
    <row r="1066" spans="30:32">
      <c r="AD1066" s="50">
        <v>573.9</v>
      </c>
      <c r="AE1066" s="51">
        <v>90.304000000000002</v>
      </c>
      <c r="AF1066" s="52">
        <f t="shared" si="260"/>
        <v>4.4293012261764964E-2</v>
      </c>
    </row>
    <row r="1067" spans="30:32">
      <c r="AD1067" s="50">
        <v>573.79999999999995</v>
      </c>
      <c r="AE1067" s="51">
        <v>90.323999999999998</v>
      </c>
      <c r="AF1067" s="52">
        <f t="shared" si="260"/>
        <v>4.4196837918102236E-2</v>
      </c>
    </row>
    <row r="1068" spans="30:32">
      <c r="AD1068" s="50">
        <v>573.70000000000005</v>
      </c>
      <c r="AE1068" s="51">
        <v>90.298000000000002</v>
      </c>
      <c r="AF1068" s="52">
        <f t="shared" si="260"/>
        <v>4.432186871841972E-2</v>
      </c>
    </row>
    <row r="1069" spans="30:32">
      <c r="AD1069" s="50">
        <v>573.6</v>
      </c>
      <c r="AE1069" s="51">
        <v>90.265000000000001</v>
      </c>
      <c r="AF1069" s="52">
        <f t="shared" si="260"/>
        <v>4.4480613511786886E-2</v>
      </c>
    </row>
    <row r="1070" spans="30:32">
      <c r="AD1070" s="50">
        <v>573.5</v>
      </c>
      <c r="AE1070" s="51">
        <v>90.254999999999995</v>
      </c>
      <c r="AF1070" s="52">
        <f t="shared" si="260"/>
        <v>4.4528729452662959E-2</v>
      </c>
    </row>
    <row r="1071" spans="30:32">
      <c r="AD1071" s="50">
        <v>573.4</v>
      </c>
      <c r="AE1071" s="51">
        <v>90.296000000000006</v>
      </c>
      <c r="AF1071" s="52">
        <f t="shared" si="260"/>
        <v>4.4331487963398378E-2</v>
      </c>
    </row>
    <row r="1072" spans="30:32">
      <c r="AD1072" s="50">
        <v>573.29999999999995</v>
      </c>
      <c r="AE1072" s="51">
        <v>90.289000000000001</v>
      </c>
      <c r="AF1072" s="52">
        <f t="shared" si="260"/>
        <v>4.4365156998754034E-2</v>
      </c>
    </row>
    <row r="1073" spans="30:32">
      <c r="AD1073" s="50">
        <v>573.20000000000005</v>
      </c>
      <c r="AE1073" s="51">
        <v>90.278000000000006</v>
      </c>
      <c r="AF1073" s="52">
        <f t="shared" si="260"/>
        <v>4.4418070757157764E-2</v>
      </c>
    </row>
    <row r="1074" spans="30:32">
      <c r="AD1074" s="50">
        <v>573.1</v>
      </c>
      <c r="AE1074" s="51">
        <v>90.302000000000007</v>
      </c>
      <c r="AF1074" s="52">
        <f t="shared" si="260"/>
        <v>4.4302630867612422E-2</v>
      </c>
    </row>
    <row r="1075" spans="30:32">
      <c r="AD1075" s="50">
        <v>573</v>
      </c>
      <c r="AE1075" s="51">
        <v>90.201999999999998</v>
      </c>
      <c r="AF1075" s="52">
        <f t="shared" si="260"/>
        <v>4.4783832975415737E-2</v>
      </c>
    </row>
    <row r="1076" spans="30:32">
      <c r="AD1076" s="50">
        <v>572.9</v>
      </c>
      <c r="AE1076" s="51">
        <v>90.242999999999995</v>
      </c>
      <c r="AF1076" s="52">
        <f t="shared" si="260"/>
        <v>4.4586475619274424E-2</v>
      </c>
    </row>
    <row r="1077" spans="30:32">
      <c r="AD1077" s="50">
        <v>572.79999999999995</v>
      </c>
      <c r="AE1077" s="51">
        <v>90.257999999999996</v>
      </c>
      <c r="AF1077" s="52">
        <f t="shared" si="260"/>
        <v>4.4514294110656251E-2</v>
      </c>
    </row>
    <row r="1078" spans="30:32">
      <c r="AD1078" s="50">
        <v>572.70000000000005</v>
      </c>
      <c r="AE1078" s="51">
        <v>90.307000000000002</v>
      </c>
      <c r="AF1078" s="52">
        <f t="shared" si="260"/>
        <v>4.4278584752412503E-2</v>
      </c>
    </row>
    <row r="1079" spans="30:32">
      <c r="AD1079" s="50">
        <v>572.6</v>
      </c>
      <c r="AE1079" s="51">
        <v>90.323999999999998</v>
      </c>
      <c r="AF1079" s="52">
        <f t="shared" si="260"/>
        <v>4.4196837918102236E-2</v>
      </c>
    </row>
    <row r="1080" spans="30:32">
      <c r="AD1080" s="50">
        <v>572.5</v>
      </c>
      <c r="AE1080" s="51">
        <v>90.343000000000004</v>
      </c>
      <c r="AF1080" s="52">
        <f t="shared" si="260"/>
        <v>4.4105492014460866E-2</v>
      </c>
    </row>
    <row r="1081" spans="30:32">
      <c r="AD1081" s="50">
        <v>572.4</v>
      </c>
      <c r="AE1081" s="51">
        <v>90.340999999999994</v>
      </c>
      <c r="AF1081" s="52">
        <f t="shared" si="260"/>
        <v>4.4115106468024516E-2</v>
      </c>
    </row>
    <row r="1082" spans="30:32">
      <c r="AD1082" s="50">
        <v>572.29999999999995</v>
      </c>
      <c r="AE1082" s="51">
        <v>90.295000000000002</v>
      </c>
      <c r="AF1082" s="52">
        <f t="shared" si="260"/>
        <v>4.4336297665785659E-2</v>
      </c>
    </row>
    <row r="1083" spans="30:32">
      <c r="AD1083" s="50">
        <v>572.20000000000005</v>
      </c>
      <c r="AE1083" s="51">
        <v>90.268000000000001</v>
      </c>
      <c r="AF1083" s="52">
        <f t="shared" si="260"/>
        <v>4.4466179768971631E-2</v>
      </c>
    </row>
    <row r="1084" spans="30:32">
      <c r="AD1084" s="50">
        <v>572.1</v>
      </c>
      <c r="AE1084" s="51">
        <v>90.283000000000001</v>
      </c>
      <c r="AF1084" s="52">
        <f t="shared" si="260"/>
        <v>4.4394018249583361E-2</v>
      </c>
    </row>
    <row r="1085" spans="30:32">
      <c r="AD1085" s="50">
        <v>572</v>
      </c>
      <c r="AE1085" s="51">
        <v>90.313999999999993</v>
      </c>
      <c r="AF1085" s="52">
        <f t="shared" si="260"/>
        <v>4.4244922427712274E-2</v>
      </c>
    </row>
    <row r="1086" spans="30:32">
      <c r="AD1086" s="50">
        <v>571.9</v>
      </c>
      <c r="AE1086" s="51">
        <v>90.308999999999997</v>
      </c>
      <c r="AF1086" s="52">
        <f t="shared" si="260"/>
        <v>4.4268966679109609E-2</v>
      </c>
    </row>
    <row r="1087" spans="30:32">
      <c r="AD1087" s="50">
        <v>571.79999999999995</v>
      </c>
      <c r="AE1087" s="51">
        <v>90.340999999999994</v>
      </c>
      <c r="AF1087" s="52">
        <f t="shared" si="260"/>
        <v>4.4115106468024516E-2</v>
      </c>
    </row>
    <row r="1088" spans="30:32">
      <c r="AD1088" s="50">
        <v>571.70000000000005</v>
      </c>
      <c r="AE1088" s="51">
        <v>90.296000000000006</v>
      </c>
      <c r="AF1088" s="52">
        <f t="shared" si="260"/>
        <v>4.4331487963398378E-2</v>
      </c>
    </row>
    <row r="1089" spans="30:32">
      <c r="AD1089" s="50">
        <v>571.6</v>
      </c>
      <c r="AE1089" s="51">
        <v>90.292000000000002</v>
      </c>
      <c r="AF1089" s="52">
        <f t="shared" si="260"/>
        <v>4.4350727092553124E-2</v>
      </c>
    </row>
    <row r="1090" spans="30:32">
      <c r="AD1090" s="50">
        <v>571.5</v>
      </c>
      <c r="AE1090" s="51">
        <v>90.322000000000003</v>
      </c>
      <c r="AF1090" s="52">
        <f t="shared" si="260"/>
        <v>4.4206454394125377E-2</v>
      </c>
    </row>
    <row r="1091" spans="30:32">
      <c r="AD1091" s="50">
        <v>571.4</v>
      </c>
      <c r="AE1091" s="51">
        <v>90.353999999999999</v>
      </c>
      <c r="AF1091" s="52">
        <f t="shared" si="260"/>
        <v>4.4052616324141328E-2</v>
      </c>
    </row>
    <row r="1092" spans="30:32">
      <c r="AD1092" s="50">
        <v>571.29999999999995</v>
      </c>
      <c r="AE1092" s="51">
        <v>90.358000000000004</v>
      </c>
      <c r="AF1092" s="52">
        <f t="shared" si="260"/>
        <v>4.403339039639001E-2</v>
      </c>
    </row>
    <row r="1093" spans="30:32">
      <c r="AD1093" s="50">
        <v>571.20000000000005</v>
      </c>
      <c r="AE1093" s="51">
        <v>90.353999999999999</v>
      </c>
      <c r="AF1093" s="52">
        <f t="shared" ref="AF1093:AF1156" si="261">-LOG(AE1093/100)</f>
        <v>4.4052616324141328E-2</v>
      </c>
    </row>
    <row r="1094" spans="30:32">
      <c r="AD1094" s="50">
        <v>571.1</v>
      </c>
      <c r="AE1094" s="51">
        <v>90.353999999999999</v>
      </c>
      <c r="AF1094" s="52">
        <f t="shared" si="261"/>
        <v>4.4052616324141328E-2</v>
      </c>
    </row>
    <row r="1095" spans="30:32">
      <c r="AD1095" s="50">
        <v>571</v>
      </c>
      <c r="AE1095" s="51">
        <v>90.287999999999997</v>
      </c>
      <c r="AF1095" s="52">
        <f t="shared" si="261"/>
        <v>4.43699670740339E-2</v>
      </c>
    </row>
    <row r="1096" spans="30:32">
      <c r="AD1096" s="50">
        <v>570.9</v>
      </c>
      <c r="AE1096" s="51">
        <v>90.284999999999997</v>
      </c>
      <c r="AF1096" s="52">
        <f t="shared" si="261"/>
        <v>4.4384397619528886E-2</v>
      </c>
    </row>
    <row r="1097" spans="30:32">
      <c r="AD1097" s="50">
        <v>570.79999999999995</v>
      </c>
      <c r="AE1097" s="51">
        <v>90.271000000000001</v>
      </c>
      <c r="AF1097" s="52">
        <f t="shared" si="261"/>
        <v>4.445174650584479E-2</v>
      </c>
    </row>
    <row r="1098" spans="30:32">
      <c r="AD1098" s="50">
        <v>570.70000000000005</v>
      </c>
      <c r="AE1098" s="51">
        <v>90.268000000000001</v>
      </c>
      <c r="AF1098" s="52">
        <f t="shared" si="261"/>
        <v>4.4466179768971631E-2</v>
      </c>
    </row>
    <row r="1099" spans="30:32">
      <c r="AD1099" s="50">
        <v>570.6</v>
      </c>
      <c r="AE1099" s="51">
        <v>90.3</v>
      </c>
      <c r="AF1099" s="52">
        <f t="shared" si="261"/>
        <v>4.4312249686494193E-2</v>
      </c>
    </row>
    <row r="1100" spans="30:32">
      <c r="AD1100" s="50">
        <v>570.5</v>
      </c>
      <c r="AE1100" s="51">
        <v>90.305000000000007</v>
      </c>
      <c r="AF1100" s="52">
        <f t="shared" si="261"/>
        <v>4.428820303872618E-2</v>
      </c>
    </row>
    <row r="1101" spans="30:32">
      <c r="AD1101" s="50">
        <v>570.4</v>
      </c>
      <c r="AE1101" s="51">
        <v>90.316000000000003</v>
      </c>
      <c r="AF1101" s="52">
        <f t="shared" si="261"/>
        <v>4.4235305099872516E-2</v>
      </c>
    </row>
    <row r="1102" spans="30:32">
      <c r="AD1102" s="50">
        <v>570.29999999999995</v>
      </c>
      <c r="AE1102" s="51">
        <v>90.302999999999997</v>
      </c>
      <c r="AF1102" s="52">
        <f t="shared" si="261"/>
        <v>4.4297821538060021E-2</v>
      </c>
    </row>
    <row r="1103" spans="30:32">
      <c r="AD1103" s="50">
        <v>570.20000000000005</v>
      </c>
      <c r="AE1103" s="51">
        <v>90.299000000000007</v>
      </c>
      <c r="AF1103" s="52">
        <f t="shared" si="261"/>
        <v>4.4317059175825867E-2</v>
      </c>
    </row>
    <row r="1104" spans="30:32">
      <c r="AD1104" s="50">
        <v>570.1</v>
      </c>
      <c r="AE1104" s="51">
        <v>90.349000000000004</v>
      </c>
      <c r="AF1104" s="52">
        <f t="shared" si="261"/>
        <v>4.4076649930778408E-2</v>
      </c>
    </row>
    <row r="1105" spans="30:32">
      <c r="AD1105" s="50">
        <v>570</v>
      </c>
      <c r="AE1105" s="51">
        <v>90.328999999999994</v>
      </c>
      <c r="AF1105" s="52">
        <f t="shared" si="261"/>
        <v>4.4172797659594816E-2</v>
      </c>
    </row>
    <row r="1106" spans="30:32">
      <c r="AD1106" s="50">
        <v>569.9</v>
      </c>
      <c r="AE1106" s="51">
        <v>90.31</v>
      </c>
      <c r="AF1106" s="52">
        <f t="shared" si="261"/>
        <v>4.4264157722334184E-2</v>
      </c>
    </row>
    <row r="1107" spans="30:32">
      <c r="AD1107" s="50">
        <v>569.79999999999995</v>
      </c>
      <c r="AE1107" s="51">
        <v>90.311999999999998</v>
      </c>
      <c r="AF1107" s="52">
        <f t="shared" si="261"/>
        <v>4.4254539968529683E-2</v>
      </c>
    </row>
    <row r="1108" spans="30:32">
      <c r="AD1108" s="50">
        <v>569.70000000000005</v>
      </c>
      <c r="AE1108" s="51">
        <v>90.350999999999999</v>
      </c>
      <c r="AF1108" s="52">
        <f t="shared" si="261"/>
        <v>4.4067036328522262E-2</v>
      </c>
    </row>
    <row r="1109" spans="30:32">
      <c r="AD1109" s="50">
        <v>569.6</v>
      </c>
      <c r="AE1109" s="51">
        <v>90.272000000000006</v>
      </c>
      <c r="AF1109" s="52">
        <f t="shared" si="261"/>
        <v>4.4446935524727706E-2</v>
      </c>
    </row>
    <row r="1110" spans="30:32">
      <c r="AD1110" s="50">
        <v>569.5</v>
      </c>
      <c r="AE1110" s="51">
        <v>90.298000000000002</v>
      </c>
      <c r="AF1110" s="52">
        <f t="shared" si="261"/>
        <v>4.432186871841972E-2</v>
      </c>
    </row>
    <row r="1111" spans="30:32">
      <c r="AD1111" s="50">
        <v>569.4</v>
      </c>
      <c r="AE1111" s="51">
        <v>90.259</v>
      </c>
      <c r="AF1111" s="52">
        <f t="shared" si="261"/>
        <v>4.4509482436609925E-2</v>
      </c>
    </row>
    <row r="1112" spans="30:32">
      <c r="AD1112" s="50">
        <v>569.29999999999995</v>
      </c>
      <c r="AE1112" s="51">
        <v>90.268000000000001</v>
      </c>
      <c r="AF1112" s="52">
        <f t="shared" si="261"/>
        <v>4.4466179768971631E-2</v>
      </c>
    </row>
    <row r="1113" spans="30:32">
      <c r="AD1113" s="50">
        <v>569.20000000000005</v>
      </c>
      <c r="AE1113" s="51">
        <v>90.305000000000007</v>
      </c>
      <c r="AF1113" s="52">
        <f t="shared" si="261"/>
        <v>4.428820303872618E-2</v>
      </c>
    </row>
    <row r="1114" spans="30:32">
      <c r="AD1114" s="50">
        <v>569.1</v>
      </c>
      <c r="AE1114" s="51">
        <v>90.281000000000006</v>
      </c>
      <c r="AF1114" s="52">
        <f t="shared" si="261"/>
        <v>4.4403639092761821E-2</v>
      </c>
    </row>
    <row r="1115" spans="30:32">
      <c r="AD1115" s="50">
        <v>569</v>
      </c>
      <c r="AE1115" s="51">
        <v>90.325999999999993</v>
      </c>
      <c r="AF1115" s="52">
        <f t="shared" si="261"/>
        <v>4.4187221655009594E-2</v>
      </c>
    </row>
    <row r="1116" spans="30:32">
      <c r="AD1116" s="50">
        <v>568.9</v>
      </c>
      <c r="AE1116" s="51">
        <v>90.269000000000005</v>
      </c>
      <c r="AF1116" s="52">
        <f t="shared" si="261"/>
        <v>4.4461368627965514E-2</v>
      </c>
    </row>
    <row r="1117" spans="30:32">
      <c r="AD1117" s="50">
        <v>568.79999999999995</v>
      </c>
      <c r="AE1117" s="51">
        <v>90.287000000000006</v>
      </c>
      <c r="AF1117" s="52">
        <f t="shared" si="261"/>
        <v>4.4374777202588853E-2</v>
      </c>
    </row>
    <row r="1118" spans="30:32">
      <c r="AD1118" s="50">
        <v>568.70000000000005</v>
      </c>
      <c r="AE1118" s="51">
        <v>90.271000000000001</v>
      </c>
      <c r="AF1118" s="52">
        <f t="shared" si="261"/>
        <v>4.445174650584479E-2</v>
      </c>
    </row>
    <row r="1119" spans="30:32">
      <c r="AD1119" s="50">
        <v>568.6</v>
      </c>
      <c r="AE1119" s="51">
        <v>90.203999999999994</v>
      </c>
      <c r="AF1119" s="52">
        <f t="shared" si="261"/>
        <v>4.4774203706280088E-2</v>
      </c>
    </row>
    <row r="1120" spans="30:32">
      <c r="AD1120" s="50">
        <v>568.5</v>
      </c>
      <c r="AE1120" s="51">
        <v>90.271000000000001</v>
      </c>
      <c r="AF1120" s="52">
        <f t="shared" si="261"/>
        <v>4.445174650584479E-2</v>
      </c>
    </row>
    <row r="1121" spans="30:32">
      <c r="AD1121" s="50">
        <v>568.4</v>
      </c>
      <c r="AE1121" s="51">
        <v>90.287000000000006</v>
      </c>
      <c r="AF1121" s="52">
        <f t="shared" si="261"/>
        <v>4.4374777202588853E-2</v>
      </c>
    </row>
    <row r="1122" spans="30:32">
      <c r="AD1122" s="50">
        <v>568.29999999999995</v>
      </c>
      <c r="AE1122" s="51">
        <v>90.325999999999993</v>
      </c>
      <c r="AF1122" s="52">
        <f t="shared" si="261"/>
        <v>4.4187221655009594E-2</v>
      </c>
    </row>
    <row r="1123" spans="30:32">
      <c r="AD1123" s="50">
        <v>568.20000000000005</v>
      </c>
      <c r="AE1123" s="51">
        <v>90.331000000000003</v>
      </c>
      <c r="AF1123" s="52">
        <f t="shared" si="261"/>
        <v>4.4163181928787251E-2</v>
      </c>
    </row>
    <row r="1124" spans="30:32">
      <c r="AD1124" s="50">
        <v>568.1</v>
      </c>
      <c r="AE1124" s="51">
        <v>90.281999999999996</v>
      </c>
      <c r="AF1124" s="52">
        <f t="shared" si="261"/>
        <v>4.4398828644531554E-2</v>
      </c>
    </row>
    <row r="1125" spans="30:32">
      <c r="AD1125" s="50">
        <v>568</v>
      </c>
      <c r="AE1125" s="51">
        <v>90.302999999999997</v>
      </c>
      <c r="AF1125" s="52">
        <f t="shared" si="261"/>
        <v>4.4297821538060021E-2</v>
      </c>
    </row>
    <row r="1126" spans="30:32">
      <c r="AD1126" s="50">
        <v>567.9</v>
      </c>
      <c r="AE1126" s="51">
        <v>90.305000000000007</v>
      </c>
      <c r="AF1126" s="52">
        <f t="shared" si="261"/>
        <v>4.428820303872618E-2</v>
      </c>
    </row>
    <row r="1127" spans="30:32">
      <c r="AD1127" s="50">
        <v>567.79999999999995</v>
      </c>
      <c r="AE1127" s="51">
        <v>90.317999999999998</v>
      </c>
      <c r="AF1127" s="52">
        <f t="shared" si="261"/>
        <v>4.4225687985001136E-2</v>
      </c>
    </row>
    <row r="1128" spans="30:32">
      <c r="AD1128" s="50">
        <v>567.70000000000005</v>
      </c>
      <c r="AE1128" s="51">
        <v>90.251000000000005</v>
      </c>
      <c r="AF1128" s="52">
        <f t="shared" si="261"/>
        <v>4.4547977321740935E-2</v>
      </c>
    </row>
    <row r="1129" spans="30:32">
      <c r="AD1129" s="50">
        <v>567.6</v>
      </c>
      <c r="AE1129" s="51">
        <v>90.272999999999996</v>
      </c>
      <c r="AF1129" s="52">
        <f t="shared" si="261"/>
        <v>4.444212459690472E-2</v>
      </c>
    </row>
    <row r="1130" spans="30:32">
      <c r="AD1130" s="50">
        <v>567.5</v>
      </c>
      <c r="AE1130" s="51">
        <v>90.290999999999997</v>
      </c>
      <c r="AF1130" s="52">
        <f t="shared" si="261"/>
        <v>4.4355537008014832E-2</v>
      </c>
    </row>
    <row r="1131" spans="30:32">
      <c r="AD1131" s="50">
        <v>567.4</v>
      </c>
      <c r="AE1131" s="51">
        <v>90.271000000000001</v>
      </c>
      <c r="AF1131" s="52">
        <f t="shared" si="261"/>
        <v>4.445174650584479E-2</v>
      </c>
    </row>
    <row r="1132" spans="30:32">
      <c r="AD1132" s="50">
        <v>567.29999999999995</v>
      </c>
      <c r="AE1132" s="51">
        <v>90.283000000000001</v>
      </c>
      <c r="AF1132" s="52">
        <f t="shared" si="261"/>
        <v>4.4394018249583361E-2</v>
      </c>
    </row>
    <row r="1133" spans="30:32">
      <c r="AD1133" s="50">
        <v>567.20000000000005</v>
      </c>
      <c r="AE1133" s="51">
        <v>90.248999999999995</v>
      </c>
      <c r="AF1133" s="52">
        <f t="shared" si="261"/>
        <v>4.4557601576188002E-2</v>
      </c>
    </row>
    <row r="1134" spans="30:32">
      <c r="AD1134" s="50">
        <v>567.1</v>
      </c>
      <c r="AE1134" s="51">
        <v>90.278999999999996</v>
      </c>
      <c r="AF1134" s="52">
        <f t="shared" si="261"/>
        <v>4.4413260149073826E-2</v>
      </c>
    </row>
    <row r="1135" spans="30:32">
      <c r="AD1135" s="50">
        <v>567</v>
      </c>
      <c r="AE1135" s="51">
        <v>90.278999999999996</v>
      </c>
      <c r="AF1135" s="52">
        <f t="shared" si="261"/>
        <v>4.4413260149073826E-2</v>
      </c>
    </row>
    <row r="1136" spans="30:32">
      <c r="AD1136" s="50">
        <v>566.9</v>
      </c>
      <c r="AE1136" s="51">
        <v>90.241</v>
      </c>
      <c r="AF1136" s="52">
        <f t="shared" si="261"/>
        <v>4.459610072691652E-2</v>
      </c>
    </row>
    <row r="1137" spans="30:32">
      <c r="AD1137" s="50">
        <v>566.79999999999995</v>
      </c>
      <c r="AE1137" s="51">
        <v>90.265000000000001</v>
      </c>
      <c r="AF1137" s="52">
        <f t="shared" si="261"/>
        <v>4.4480613511786886E-2</v>
      </c>
    </row>
    <row r="1138" spans="30:32">
      <c r="AD1138" s="50">
        <v>566.70000000000005</v>
      </c>
      <c r="AE1138" s="51">
        <v>90.254000000000005</v>
      </c>
      <c r="AF1138" s="52">
        <f t="shared" si="261"/>
        <v>4.4533541339958398E-2</v>
      </c>
    </row>
    <row r="1139" spans="30:32">
      <c r="AD1139" s="50">
        <v>566.6</v>
      </c>
      <c r="AE1139" s="51">
        <v>90.248999999999995</v>
      </c>
      <c r="AF1139" s="52">
        <f t="shared" si="261"/>
        <v>4.4557601576188002E-2</v>
      </c>
    </row>
    <row r="1140" spans="30:32">
      <c r="AD1140" s="50">
        <v>566.5</v>
      </c>
      <c r="AE1140" s="51">
        <v>90.265000000000001</v>
      </c>
      <c r="AF1140" s="52">
        <f t="shared" si="261"/>
        <v>4.4480613511786886E-2</v>
      </c>
    </row>
    <row r="1141" spans="30:32">
      <c r="AD1141" s="50">
        <v>566.4</v>
      </c>
      <c r="AE1141" s="51">
        <v>90.242999999999995</v>
      </c>
      <c r="AF1141" s="52">
        <f t="shared" si="261"/>
        <v>4.4586475619274424E-2</v>
      </c>
    </row>
    <row r="1142" spans="30:32">
      <c r="AD1142" s="50">
        <v>566.29999999999995</v>
      </c>
      <c r="AE1142" s="51">
        <v>90.239000000000004</v>
      </c>
      <c r="AF1142" s="52">
        <f t="shared" si="261"/>
        <v>4.4605726047881086E-2</v>
      </c>
    </row>
    <row r="1143" spans="30:32">
      <c r="AD1143" s="50">
        <v>566.20000000000005</v>
      </c>
      <c r="AE1143" s="51">
        <v>90.248000000000005</v>
      </c>
      <c r="AF1143" s="52">
        <f t="shared" si="261"/>
        <v>4.4562413783392561E-2</v>
      </c>
    </row>
    <row r="1144" spans="30:32">
      <c r="AD1144" s="50">
        <v>566.1</v>
      </c>
      <c r="AE1144" s="51">
        <v>90.245999999999995</v>
      </c>
      <c r="AF1144" s="52">
        <f t="shared" si="261"/>
        <v>4.4572038357770079E-2</v>
      </c>
    </row>
    <row r="1145" spans="30:32">
      <c r="AD1145" s="50">
        <v>566</v>
      </c>
      <c r="AE1145" s="51">
        <v>90.242999999999995</v>
      </c>
      <c r="AF1145" s="52">
        <f t="shared" si="261"/>
        <v>4.4586475619274424E-2</v>
      </c>
    </row>
    <row r="1146" spans="30:32">
      <c r="AD1146" s="50">
        <v>565.9</v>
      </c>
      <c r="AE1146" s="51">
        <v>90.241</v>
      </c>
      <c r="AF1146" s="52">
        <f t="shared" si="261"/>
        <v>4.459610072691652E-2</v>
      </c>
    </row>
    <row r="1147" spans="30:32">
      <c r="AD1147" s="50">
        <v>565.79999999999995</v>
      </c>
      <c r="AE1147" s="51">
        <v>90.31</v>
      </c>
      <c r="AF1147" s="52">
        <f t="shared" si="261"/>
        <v>4.4264157722334184E-2</v>
      </c>
    </row>
    <row r="1148" spans="30:32">
      <c r="AD1148" s="50">
        <v>565.70000000000005</v>
      </c>
      <c r="AE1148" s="51">
        <v>90.311999999999998</v>
      </c>
      <c r="AF1148" s="52">
        <f t="shared" si="261"/>
        <v>4.4254539968529683E-2</v>
      </c>
    </row>
    <row r="1149" spans="30:32">
      <c r="AD1149" s="50">
        <v>565.6</v>
      </c>
      <c r="AE1149" s="51">
        <v>90.281999999999996</v>
      </c>
      <c r="AF1149" s="52">
        <f t="shared" si="261"/>
        <v>4.4398828644531554E-2</v>
      </c>
    </row>
    <row r="1150" spans="30:32">
      <c r="AD1150" s="50">
        <v>565.5</v>
      </c>
      <c r="AE1150" s="51">
        <v>90.227999999999994</v>
      </c>
      <c r="AF1150" s="52">
        <f t="shared" si="261"/>
        <v>4.4658669126747083E-2</v>
      </c>
    </row>
    <row r="1151" spans="30:32">
      <c r="AD1151" s="50">
        <v>565.4</v>
      </c>
      <c r="AE1151" s="51">
        <v>90.204999999999998</v>
      </c>
      <c r="AF1151" s="52">
        <f t="shared" si="261"/>
        <v>4.4769389151774377E-2</v>
      </c>
    </row>
    <row r="1152" spans="30:32">
      <c r="AD1152" s="50">
        <v>565.29999999999995</v>
      </c>
      <c r="AE1152" s="51">
        <v>90.19</v>
      </c>
      <c r="AF1152" s="52">
        <f t="shared" si="261"/>
        <v>4.4841613074206442E-2</v>
      </c>
    </row>
    <row r="1153" spans="30:32">
      <c r="AD1153" s="50">
        <v>565.20000000000005</v>
      </c>
      <c r="AE1153" s="51">
        <v>90.227999999999994</v>
      </c>
      <c r="AF1153" s="52">
        <f t="shared" si="261"/>
        <v>4.4658669126747083E-2</v>
      </c>
    </row>
    <row r="1154" spans="30:32">
      <c r="AD1154" s="50">
        <v>565.1</v>
      </c>
      <c r="AE1154" s="51">
        <v>90.253</v>
      </c>
      <c r="AF1154" s="52">
        <f t="shared" si="261"/>
        <v>4.4538353280569071E-2</v>
      </c>
    </row>
    <row r="1155" spans="30:32">
      <c r="AD1155" s="50">
        <v>565</v>
      </c>
      <c r="AE1155" s="51">
        <v>90.242000000000004</v>
      </c>
      <c r="AF1155" s="52">
        <f t="shared" si="261"/>
        <v>4.4591288146430756E-2</v>
      </c>
    </row>
    <row r="1156" spans="30:32">
      <c r="AD1156" s="50">
        <v>564.9</v>
      </c>
      <c r="AE1156" s="51">
        <v>90.225999999999999</v>
      </c>
      <c r="AF1156" s="52">
        <f t="shared" si="261"/>
        <v>4.4668295834537908E-2</v>
      </c>
    </row>
    <row r="1157" spans="30:32">
      <c r="AD1157" s="50">
        <v>564.79999999999995</v>
      </c>
      <c r="AE1157" s="51">
        <v>90.185000000000002</v>
      </c>
      <c r="AF1157" s="52">
        <f t="shared" ref="AF1157:AF1220" si="262">-LOG(AE1157/100)</f>
        <v>4.486569038436658E-2</v>
      </c>
    </row>
    <row r="1158" spans="30:32">
      <c r="AD1158" s="50">
        <v>564.70000000000005</v>
      </c>
      <c r="AE1158" s="51">
        <v>90.287000000000006</v>
      </c>
      <c r="AF1158" s="52">
        <f t="shared" si="262"/>
        <v>4.4374777202588853E-2</v>
      </c>
    </row>
    <row r="1159" spans="30:32">
      <c r="AD1159" s="50">
        <v>564.6</v>
      </c>
      <c r="AE1159" s="51">
        <v>90.26</v>
      </c>
      <c r="AF1159" s="52">
        <f t="shared" si="262"/>
        <v>4.4504670815872928E-2</v>
      </c>
    </row>
    <row r="1160" spans="30:32">
      <c r="AD1160" s="50">
        <v>564.5</v>
      </c>
      <c r="AE1160" s="51">
        <v>90.245999999999995</v>
      </c>
      <c r="AF1160" s="52">
        <f t="shared" si="262"/>
        <v>4.4572038357770079E-2</v>
      </c>
    </row>
    <row r="1161" spans="30:32">
      <c r="AD1161" s="50">
        <v>564.4</v>
      </c>
      <c r="AE1161" s="51">
        <v>90.244</v>
      </c>
      <c r="AF1161" s="52">
        <f t="shared" si="262"/>
        <v>4.4581663145446274E-2</v>
      </c>
    </row>
    <row r="1162" spans="30:32">
      <c r="AD1162" s="50">
        <v>564.29999999999995</v>
      </c>
      <c r="AE1162" s="51">
        <v>90.245000000000005</v>
      </c>
      <c r="AF1162" s="52">
        <f t="shared" si="262"/>
        <v>4.4576850724945181E-2</v>
      </c>
    </row>
    <row r="1163" spans="30:32">
      <c r="AD1163" s="50">
        <v>564.20000000000005</v>
      </c>
      <c r="AE1163" s="51">
        <v>90.198999999999998</v>
      </c>
      <c r="AF1163" s="52">
        <f t="shared" si="262"/>
        <v>4.4798277279447629E-2</v>
      </c>
    </row>
    <row r="1164" spans="30:32">
      <c r="AD1164" s="50">
        <v>564.1</v>
      </c>
      <c r="AE1164" s="51">
        <v>90.141999999999996</v>
      </c>
      <c r="AF1164" s="52">
        <f t="shared" si="262"/>
        <v>4.5072810372785349E-2</v>
      </c>
    </row>
    <row r="1165" spans="30:32">
      <c r="AD1165" s="50">
        <v>564</v>
      </c>
      <c r="AE1165" s="51">
        <v>90.167000000000002</v>
      </c>
      <c r="AF1165" s="52">
        <f t="shared" si="262"/>
        <v>4.4952379755155016E-2</v>
      </c>
    </row>
    <row r="1166" spans="30:32">
      <c r="AD1166" s="50">
        <v>563.9</v>
      </c>
      <c r="AE1166" s="51">
        <v>90.209000000000003</v>
      </c>
      <c r="AF1166" s="52">
        <f t="shared" si="262"/>
        <v>4.4750131467471609E-2</v>
      </c>
    </row>
    <row r="1167" spans="30:32">
      <c r="AD1167" s="50">
        <v>563.79999999999995</v>
      </c>
      <c r="AE1167" s="51">
        <v>90.238</v>
      </c>
      <c r="AF1167" s="52">
        <f t="shared" si="262"/>
        <v>4.4610538788362263E-2</v>
      </c>
    </row>
    <row r="1168" spans="30:32">
      <c r="AD1168" s="50">
        <v>563.70000000000005</v>
      </c>
      <c r="AE1168" s="51">
        <v>90.188000000000002</v>
      </c>
      <c r="AF1168" s="52">
        <f t="shared" si="262"/>
        <v>4.4851243838089382E-2</v>
      </c>
    </row>
    <row r="1169" spans="30:32">
      <c r="AD1169" s="50">
        <v>563.6</v>
      </c>
      <c r="AE1169" s="51">
        <v>90.186999999999998</v>
      </c>
      <c r="AF1169" s="52">
        <f t="shared" si="262"/>
        <v>4.4856059300120266E-2</v>
      </c>
    </row>
    <row r="1170" spans="30:32">
      <c r="AD1170" s="50">
        <v>563.5</v>
      </c>
      <c r="AE1170" s="51">
        <v>90.177999999999997</v>
      </c>
      <c r="AF1170" s="52">
        <f t="shared" si="262"/>
        <v>4.4899400861292002E-2</v>
      </c>
    </row>
    <row r="1171" spans="30:32">
      <c r="AD1171" s="50">
        <v>563.4</v>
      </c>
      <c r="AE1171" s="51">
        <v>90.222999999999999</v>
      </c>
      <c r="AF1171" s="52">
        <f t="shared" si="262"/>
        <v>4.468273629633962E-2</v>
      </c>
    </row>
    <row r="1172" spans="30:32">
      <c r="AD1172" s="50">
        <v>563.29999999999995</v>
      </c>
      <c r="AE1172" s="51">
        <v>90.271000000000001</v>
      </c>
      <c r="AF1172" s="52">
        <f t="shared" si="262"/>
        <v>4.445174650584479E-2</v>
      </c>
    </row>
    <row r="1173" spans="30:32">
      <c r="AD1173" s="50">
        <v>563.20000000000005</v>
      </c>
      <c r="AE1173" s="51">
        <v>90.233999999999995</v>
      </c>
      <c r="AF1173" s="52">
        <f t="shared" si="262"/>
        <v>4.462979028364019E-2</v>
      </c>
    </row>
    <row r="1174" spans="30:32">
      <c r="AD1174" s="50">
        <v>563.1</v>
      </c>
      <c r="AE1174" s="51">
        <v>90.230999999999995</v>
      </c>
      <c r="AF1174" s="52">
        <f t="shared" si="262"/>
        <v>4.4644229465152716E-2</v>
      </c>
    </row>
    <row r="1175" spans="30:32">
      <c r="AD1175" s="50">
        <v>563</v>
      </c>
      <c r="AE1175" s="51">
        <v>90.218999999999994</v>
      </c>
      <c r="AF1175" s="52">
        <f t="shared" si="262"/>
        <v>4.470199099234054E-2</v>
      </c>
    </row>
    <row r="1176" spans="30:32">
      <c r="AD1176" s="50">
        <v>562.9</v>
      </c>
      <c r="AE1176" s="51">
        <v>90.180999999999997</v>
      </c>
      <c r="AF1176" s="52">
        <f t="shared" si="262"/>
        <v>4.4884953193631075E-2</v>
      </c>
    </row>
    <row r="1177" spans="30:32">
      <c r="AD1177" s="50">
        <v>562.79999999999995</v>
      </c>
      <c r="AE1177" s="51">
        <v>90.162999999999997</v>
      </c>
      <c r="AF1177" s="52">
        <f t="shared" si="262"/>
        <v>4.4971646409931253E-2</v>
      </c>
    </row>
    <row r="1178" spans="30:32">
      <c r="AD1178" s="50">
        <v>562.70000000000005</v>
      </c>
      <c r="AE1178" s="51">
        <v>90.141999999999996</v>
      </c>
      <c r="AF1178" s="52">
        <f t="shared" si="262"/>
        <v>4.5072810372785349E-2</v>
      </c>
    </row>
    <row r="1179" spans="30:32">
      <c r="AD1179" s="50">
        <v>562.6</v>
      </c>
      <c r="AE1179" s="51">
        <v>90.156999999999996</v>
      </c>
      <c r="AF1179" s="52">
        <f t="shared" si="262"/>
        <v>4.5000547994806794E-2</v>
      </c>
    </row>
    <row r="1180" spans="30:32">
      <c r="AD1180" s="50">
        <v>562.5</v>
      </c>
      <c r="AE1180" s="51">
        <v>90.183999999999997</v>
      </c>
      <c r="AF1180" s="52">
        <f t="shared" si="262"/>
        <v>4.4870506006584487E-2</v>
      </c>
    </row>
    <row r="1181" spans="30:32">
      <c r="AD1181" s="50">
        <v>562.4</v>
      </c>
      <c r="AE1181" s="51">
        <v>90.209000000000003</v>
      </c>
      <c r="AF1181" s="52">
        <f t="shared" si="262"/>
        <v>4.4750131467471609E-2</v>
      </c>
    </row>
    <row r="1182" spans="30:32">
      <c r="AD1182" s="50">
        <v>562.29999999999995</v>
      </c>
      <c r="AE1182" s="51">
        <v>90.167000000000002</v>
      </c>
      <c r="AF1182" s="52">
        <f t="shared" si="262"/>
        <v>4.4952379755155016E-2</v>
      </c>
    </row>
    <row r="1183" spans="30:32">
      <c r="AD1183" s="50">
        <v>562.20000000000005</v>
      </c>
      <c r="AE1183" s="51">
        <v>90.159000000000006</v>
      </c>
      <c r="AF1183" s="52">
        <f t="shared" si="262"/>
        <v>4.4990913919474074E-2</v>
      </c>
    </row>
    <row r="1184" spans="30:32">
      <c r="AD1184" s="50">
        <v>562.1</v>
      </c>
      <c r="AE1184" s="51">
        <v>90.159000000000006</v>
      </c>
      <c r="AF1184" s="52">
        <f t="shared" si="262"/>
        <v>4.4990913919474074E-2</v>
      </c>
    </row>
    <row r="1185" spans="30:32">
      <c r="AD1185" s="50">
        <v>562</v>
      </c>
      <c r="AE1185" s="51">
        <v>90.203999999999994</v>
      </c>
      <c r="AF1185" s="52">
        <f t="shared" si="262"/>
        <v>4.4774203706280088E-2</v>
      </c>
    </row>
    <row r="1186" spans="30:32">
      <c r="AD1186" s="50">
        <v>561.9</v>
      </c>
      <c r="AE1186" s="51">
        <v>90.203999999999994</v>
      </c>
      <c r="AF1186" s="52">
        <f t="shared" si="262"/>
        <v>4.4774203706280088E-2</v>
      </c>
    </row>
    <row r="1187" spans="30:32">
      <c r="AD1187" s="50">
        <v>561.79999999999995</v>
      </c>
      <c r="AE1187" s="51">
        <v>90.147000000000006</v>
      </c>
      <c r="AF1187" s="52">
        <f t="shared" si="262"/>
        <v>4.5048721577461426E-2</v>
      </c>
    </row>
    <row r="1188" spans="30:32">
      <c r="AD1188" s="50">
        <v>561.70000000000005</v>
      </c>
      <c r="AE1188" s="51">
        <v>90.171999999999997</v>
      </c>
      <c r="AF1188" s="52">
        <f t="shared" si="262"/>
        <v>4.4928297638584858E-2</v>
      </c>
    </row>
    <row r="1189" spans="30:32">
      <c r="AD1189" s="50">
        <v>561.6</v>
      </c>
      <c r="AE1189" s="51">
        <v>90.13</v>
      </c>
      <c r="AF1189" s="52">
        <f t="shared" si="262"/>
        <v>4.5130628933521759E-2</v>
      </c>
    </row>
    <row r="1190" spans="30:32">
      <c r="AD1190" s="50">
        <v>561.5</v>
      </c>
      <c r="AE1190" s="51">
        <v>90.105000000000004</v>
      </c>
      <c r="AF1190" s="52">
        <f t="shared" si="262"/>
        <v>4.5251108996963503E-2</v>
      </c>
    </row>
    <row r="1191" spans="30:32">
      <c r="AD1191" s="50">
        <v>561.4</v>
      </c>
      <c r="AE1191" s="51">
        <v>90.156999999999996</v>
      </c>
      <c r="AF1191" s="52">
        <f t="shared" si="262"/>
        <v>4.5000547994806794E-2</v>
      </c>
    </row>
    <row r="1192" spans="30:32">
      <c r="AD1192" s="50">
        <v>561.29999999999995</v>
      </c>
      <c r="AE1192" s="51">
        <v>90.123000000000005</v>
      </c>
      <c r="AF1192" s="52">
        <f t="shared" si="262"/>
        <v>4.5164359982379165E-2</v>
      </c>
    </row>
    <row r="1193" spans="30:32">
      <c r="AD1193" s="50">
        <v>561.20000000000005</v>
      </c>
      <c r="AE1193" s="51">
        <v>90.096000000000004</v>
      </c>
      <c r="AF1193" s="52">
        <f t="shared" si="262"/>
        <v>4.5294490003066477E-2</v>
      </c>
    </row>
    <row r="1194" spans="30:32">
      <c r="AD1194" s="50">
        <v>561.1</v>
      </c>
      <c r="AE1194" s="51">
        <v>90.132000000000005</v>
      </c>
      <c r="AF1194" s="52">
        <f t="shared" si="262"/>
        <v>4.5120991972167256E-2</v>
      </c>
    </row>
    <row r="1195" spans="30:32">
      <c r="AD1195" s="50">
        <v>561</v>
      </c>
      <c r="AE1195" s="51">
        <v>90.102999999999994</v>
      </c>
      <c r="AF1195" s="52">
        <f t="shared" si="262"/>
        <v>4.5260748846069461E-2</v>
      </c>
    </row>
    <row r="1196" spans="30:32">
      <c r="AD1196" s="50">
        <v>560.9</v>
      </c>
      <c r="AE1196" s="51">
        <v>90.063999999999993</v>
      </c>
      <c r="AF1196" s="52">
        <f t="shared" si="262"/>
        <v>4.5448768683873063E-2</v>
      </c>
    </row>
    <row r="1197" spans="30:32">
      <c r="AD1197" s="50">
        <v>560.79999999999995</v>
      </c>
      <c r="AE1197" s="51">
        <v>90.042000000000002</v>
      </c>
      <c r="AF1197" s="52">
        <f t="shared" si="262"/>
        <v>4.5554867077589947E-2</v>
      </c>
    </row>
    <row r="1198" spans="30:32">
      <c r="AD1198" s="50">
        <v>560.70000000000005</v>
      </c>
      <c r="AE1198" s="51">
        <v>90.061999999999998</v>
      </c>
      <c r="AF1198" s="52">
        <f t="shared" si="262"/>
        <v>4.5458412921393888E-2</v>
      </c>
    </row>
    <row r="1199" spans="30:32">
      <c r="AD1199" s="50">
        <v>560.6</v>
      </c>
      <c r="AE1199" s="51">
        <v>90.102999999999994</v>
      </c>
      <c r="AF1199" s="52">
        <f t="shared" si="262"/>
        <v>4.5260748846069461E-2</v>
      </c>
    </row>
    <row r="1200" spans="30:32">
      <c r="AD1200" s="50">
        <v>560.5</v>
      </c>
      <c r="AE1200" s="51">
        <v>90.096999999999994</v>
      </c>
      <c r="AF1200" s="52">
        <f t="shared" si="262"/>
        <v>4.5289669677283498E-2</v>
      </c>
    </row>
    <row r="1201" spans="30:32">
      <c r="AD1201" s="50">
        <v>560.4</v>
      </c>
      <c r="AE1201" s="51">
        <v>90.075000000000003</v>
      </c>
      <c r="AF1201" s="52">
        <f t="shared" si="262"/>
        <v>4.5395729205393878E-2</v>
      </c>
    </row>
    <row r="1202" spans="30:32">
      <c r="AD1202" s="50">
        <v>560.29999999999995</v>
      </c>
      <c r="AE1202" s="51">
        <v>90.036000000000001</v>
      </c>
      <c r="AF1202" s="52">
        <f t="shared" si="262"/>
        <v>4.558380750221018E-2</v>
      </c>
    </row>
    <row r="1203" spans="30:32">
      <c r="AD1203" s="50">
        <v>560.20000000000005</v>
      </c>
      <c r="AE1203" s="51">
        <v>90.034000000000006</v>
      </c>
      <c r="AF1203" s="52">
        <f t="shared" si="262"/>
        <v>4.5593454738994135E-2</v>
      </c>
    </row>
    <row r="1204" spans="30:32">
      <c r="AD1204" s="50">
        <v>560.1</v>
      </c>
      <c r="AE1204" s="51">
        <v>89.998999999999995</v>
      </c>
      <c r="AF1204" s="52">
        <f t="shared" si="262"/>
        <v>4.5762316081727018E-2</v>
      </c>
    </row>
    <row r="1205" spans="30:32">
      <c r="AD1205" s="50">
        <v>560</v>
      </c>
      <c r="AE1205" s="51">
        <v>90.03</v>
      </c>
      <c r="AF1205" s="52">
        <f t="shared" si="262"/>
        <v>4.5612749855484941E-2</v>
      </c>
    </row>
    <row r="1206" spans="30:32">
      <c r="AD1206" s="50">
        <v>559.9</v>
      </c>
      <c r="AE1206" s="51">
        <v>90.037000000000006</v>
      </c>
      <c r="AF1206" s="52">
        <f t="shared" si="262"/>
        <v>4.5578983964179379E-2</v>
      </c>
    </row>
    <row r="1207" spans="30:32">
      <c r="AD1207" s="50">
        <v>559.79999999999995</v>
      </c>
      <c r="AE1207" s="51">
        <v>90.01</v>
      </c>
      <c r="AF1207" s="52">
        <f t="shared" si="262"/>
        <v>4.5709238298872995E-2</v>
      </c>
    </row>
    <row r="1208" spans="30:32">
      <c r="AD1208" s="50">
        <v>559.70000000000005</v>
      </c>
      <c r="AE1208" s="51">
        <v>90.013000000000005</v>
      </c>
      <c r="AF1208" s="52">
        <f t="shared" si="262"/>
        <v>4.569476366567797E-2</v>
      </c>
    </row>
    <row r="1209" spans="30:32">
      <c r="AD1209" s="50">
        <v>559.6</v>
      </c>
      <c r="AE1209" s="51">
        <v>89.998000000000005</v>
      </c>
      <c r="AF1209" s="52">
        <f t="shared" si="262"/>
        <v>4.5767141656396657E-2</v>
      </c>
    </row>
    <row r="1210" spans="30:32">
      <c r="AD1210" s="50">
        <v>559.5</v>
      </c>
      <c r="AE1210" s="51">
        <v>89.98</v>
      </c>
      <c r="AF1210" s="52">
        <f t="shared" si="262"/>
        <v>4.5854011170451937E-2</v>
      </c>
    </row>
    <row r="1211" spans="30:32">
      <c r="AD1211" s="50">
        <v>559.4</v>
      </c>
      <c r="AE1211" s="51">
        <v>89.929000000000002</v>
      </c>
      <c r="AF1211" s="52">
        <f t="shared" si="262"/>
        <v>4.6100235863717504E-2</v>
      </c>
    </row>
    <row r="1212" spans="30:32">
      <c r="AD1212" s="50">
        <v>559.29999999999995</v>
      </c>
      <c r="AE1212" s="51">
        <v>89.995999999999995</v>
      </c>
      <c r="AF1212" s="52">
        <f t="shared" si="262"/>
        <v>4.5776792966594142E-2</v>
      </c>
    </row>
    <row r="1213" spans="30:32">
      <c r="AD1213" s="50">
        <v>559.20000000000005</v>
      </c>
      <c r="AE1213" s="51">
        <v>89.980999999999995</v>
      </c>
      <c r="AF1213" s="52">
        <f t="shared" si="262"/>
        <v>4.5849184630458208E-2</v>
      </c>
    </row>
    <row r="1214" spans="30:32">
      <c r="AD1214" s="50">
        <v>559.1</v>
      </c>
      <c r="AE1214" s="51">
        <v>90.049000000000007</v>
      </c>
      <c r="AF1214" s="52">
        <f t="shared" si="262"/>
        <v>4.5521105686128355E-2</v>
      </c>
    </row>
    <row r="1215" spans="30:32">
      <c r="AD1215" s="50">
        <v>559</v>
      </c>
      <c r="AE1215" s="51">
        <v>90.001000000000005</v>
      </c>
      <c r="AF1215" s="52">
        <f t="shared" si="262"/>
        <v>4.5752665093239817E-2</v>
      </c>
    </row>
    <row r="1216" spans="30:32">
      <c r="AD1216" s="50">
        <v>558.9</v>
      </c>
      <c r="AE1216" s="51">
        <v>89.906000000000006</v>
      </c>
      <c r="AF1216" s="52">
        <f t="shared" si="262"/>
        <v>4.6211324062769253E-2</v>
      </c>
    </row>
    <row r="1217" spans="30:32">
      <c r="AD1217" s="50">
        <v>558.79999999999995</v>
      </c>
      <c r="AE1217" s="51">
        <v>89.921999999999997</v>
      </c>
      <c r="AF1217" s="52">
        <f t="shared" si="262"/>
        <v>4.6134042307661195E-2</v>
      </c>
    </row>
    <row r="1218" spans="30:32">
      <c r="AD1218" s="50">
        <v>558.70000000000005</v>
      </c>
      <c r="AE1218" s="51">
        <v>89.867000000000004</v>
      </c>
      <c r="AF1218" s="52">
        <f t="shared" si="262"/>
        <v>4.6399755974790929E-2</v>
      </c>
    </row>
    <row r="1219" spans="30:32">
      <c r="AD1219" s="50">
        <v>558.6</v>
      </c>
      <c r="AE1219" s="51">
        <v>89.861000000000004</v>
      </c>
      <c r="AF1219" s="52">
        <f t="shared" si="262"/>
        <v>4.6428752757622656E-2</v>
      </c>
    </row>
    <row r="1220" spans="30:32">
      <c r="AD1220" s="50">
        <v>558.5</v>
      </c>
      <c r="AE1220" s="51">
        <v>89.837999999999994</v>
      </c>
      <c r="AF1220" s="52">
        <f t="shared" si="262"/>
        <v>4.6539925030571562E-2</v>
      </c>
    </row>
    <row r="1221" spans="30:32">
      <c r="AD1221" s="50">
        <v>558.4</v>
      </c>
      <c r="AE1221" s="51">
        <v>89.884</v>
      </c>
      <c r="AF1221" s="52">
        <f t="shared" ref="AF1221:AF1284" si="263">-LOG(AE1221/100)</f>
        <v>4.6317608935671675E-2</v>
      </c>
    </row>
    <row r="1222" spans="30:32">
      <c r="AD1222" s="50">
        <v>558.29999999999995</v>
      </c>
      <c r="AE1222" s="51">
        <v>89.856999999999999</v>
      </c>
      <c r="AF1222" s="52">
        <f t="shared" si="263"/>
        <v>4.6448085021813239E-2</v>
      </c>
    </row>
    <row r="1223" spans="30:32">
      <c r="AD1223" s="50">
        <v>558.20000000000005</v>
      </c>
      <c r="AE1223" s="51">
        <v>89.834999999999994</v>
      </c>
      <c r="AF1223" s="52">
        <f t="shared" si="263"/>
        <v>4.655442786011E-2</v>
      </c>
    </row>
    <row r="1224" spans="30:32">
      <c r="AD1224" s="50">
        <v>558.1</v>
      </c>
      <c r="AE1224" s="51">
        <v>89.817999999999998</v>
      </c>
      <c r="AF1224" s="52">
        <f t="shared" si="263"/>
        <v>4.6636619710114083E-2</v>
      </c>
    </row>
    <row r="1225" spans="30:32">
      <c r="AD1225" s="50">
        <v>558</v>
      </c>
      <c r="AE1225" s="51">
        <v>89.79</v>
      </c>
      <c r="AF1225" s="52">
        <f t="shared" si="263"/>
        <v>4.6772028440146149E-2</v>
      </c>
    </row>
    <row r="1226" spans="30:32">
      <c r="AD1226" s="50">
        <v>557.9</v>
      </c>
      <c r="AE1226" s="51">
        <v>89.825000000000003</v>
      </c>
      <c r="AF1226" s="52">
        <f t="shared" si="263"/>
        <v>4.6602774123312901E-2</v>
      </c>
    </row>
    <row r="1227" spans="30:32">
      <c r="AD1227" s="50">
        <v>557.79999999999995</v>
      </c>
      <c r="AE1227" s="51">
        <v>89.778999999999996</v>
      </c>
      <c r="AF1227" s="52">
        <f t="shared" si="263"/>
        <v>4.682523628010643E-2</v>
      </c>
    </row>
    <row r="1228" spans="30:32">
      <c r="AD1228" s="50">
        <v>557.70000000000005</v>
      </c>
      <c r="AE1228" s="51">
        <v>89.751999999999995</v>
      </c>
      <c r="AF1228" s="52">
        <f t="shared" si="263"/>
        <v>4.6955864986010058E-2</v>
      </c>
    </row>
    <row r="1229" spans="30:32">
      <c r="AD1229" s="50">
        <v>557.6</v>
      </c>
      <c r="AE1229" s="51">
        <v>89.692999999999998</v>
      </c>
      <c r="AF1229" s="52">
        <f t="shared" si="263"/>
        <v>4.7241449709525561E-2</v>
      </c>
    </row>
    <row r="1230" spans="30:32">
      <c r="AD1230" s="50">
        <v>557.5</v>
      </c>
      <c r="AE1230" s="51">
        <v>89.650999999999996</v>
      </c>
      <c r="AF1230" s="52">
        <f t="shared" si="263"/>
        <v>4.7444861795498838E-2</v>
      </c>
    </row>
    <row r="1231" spans="30:32">
      <c r="AD1231" s="50">
        <v>557.4</v>
      </c>
      <c r="AE1231" s="51">
        <v>89.682000000000002</v>
      </c>
      <c r="AF1231" s="52">
        <f t="shared" si="263"/>
        <v>4.7294715095526088E-2</v>
      </c>
    </row>
    <row r="1232" spans="30:32">
      <c r="AD1232" s="50">
        <v>557.29999999999995</v>
      </c>
      <c r="AE1232" s="51">
        <v>89.584999999999994</v>
      </c>
      <c r="AF1232" s="52">
        <f t="shared" si="263"/>
        <v>4.7764701973823896E-2</v>
      </c>
    </row>
    <row r="1233" spans="30:32">
      <c r="AD1233" s="50">
        <v>557.20000000000005</v>
      </c>
      <c r="AE1233" s="51">
        <v>89.546999999999997</v>
      </c>
      <c r="AF1233" s="52">
        <f t="shared" si="263"/>
        <v>4.794895928753528E-2</v>
      </c>
    </row>
    <row r="1234" spans="30:32">
      <c r="AD1234" s="50">
        <v>557.1</v>
      </c>
      <c r="AE1234" s="51">
        <v>89.497</v>
      </c>
      <c r="AF1234" s="52">
        <f t="shared" si="263"/>
        <v>4.819152228500681E-2</v>
      </c>
    </row>
    <row r="1235" spans="30:32">
      <c r="AD1235" s="50">
        <v>557</v>
      </c>
      <c r="AE1235" s="51">
        <v>89.475999999999999</v>
      </c>
      <c r="AF1235" s="52">
        <f t="shared" si="263"/>
        <v>4.8293439156957607E-2</v>
      </c>
    </row>
    <row r="1236" spans="30:32">
      <c r="AD1236" s="50">
        <v>556.9</v>
      </c>
      <c r="AE1236" s="51">
        <v>89.474000000000004</v>
      </c>
      <c r="AF1236" s="52">
        <f t="shared" si="263"/>
        <v>4.8303146773206157E-2</v>
      </c>
    </row>
    <row r="1237" spans="30:32">
      <c r="AD1237" s="50">
        <v>556.79999999999995</v>
      </c>
      <c r="AE1237" s="51">
        <v>89.424000000000007</v>
      </c>
      <c r="AF1237" s="52">
        <f t="shared" si="263"/>
        <v>4.8545907728170135E-2</v>
      </c>
    </row>
    <row r="1238" spans="30:32">
      <c r="AD1238" s="50">
        <v>556.70000000000005</v>
      </c>
      <c r="AE1238" s="51">
        <v>89.403000000000006</v>
      </c>
      <c r="AF1238" s="52">
        <f t="shared" si="263"/>
        <v>4.8647907808268651E-2</v>
      </c>
    </row>
    <row r="1239" spans="30:32">
      <c r="AD1239" s="50">
        <v>556.6</v>
      </c>
      <c r="AE1239" s="51">
        <v>89.305000000000007</v>
      </c>
      <c r="AF1239" s="52">
        <f t="shared" si="263"/>
        <v>4.9124225191853464E-2</v>
      </c>
    </row>
    <row r="1240" spans="30:32">
      <c r="AD1240" s="50">
        <v>556.5</v>
      </c>
      <c r="AE1240" s="51">
        <v>89.266999999999996</v>
      </c>
      <c r="AF1240" s="52">
        <f t="shared" si="263"/>
        <v>4.9309060334669114E-2</v>
      </c>
    </row>
    <row r="1241" spans="30:32">
      <c r="AD1241" s="50">
        <v>556.4</v>
      </c>
      <c r="AE1241" s="51">
        <v>89.212999999999994</v>
      </c>
      <c r="AF1241" s="52">
        <f t="shared" si="263"/>
        <v>4.9571856196820238E-2</v>
      </c>
    </row>
    <row r="1242" spans="30:32">
      <c r="AD1242" s="50">
        <v>556.29999999999995</v>
      </c>
      <c r="AE1242" s="51">
        <v>89.179000000000002</v>
      </c>
      <c r="AF1242" s="52">
        <f t="shared" si="263"/>
        <v>4.9737401877831759E-2</v>
      </c>
    </row>
    <row r="1243" spans="30:32">
      <c r="AD1243" s="50">
        <v>556.20000000000005</v>
      </c>
      <c r="AE1243" s="51">
        <v>89.043000000000006</v>
      </c>
      <c r="AF1243" s="52">
        <f t="shared" si="263"/>
        <v>5.0400216356441541E-2</v>
      </c>
    </row>
    <row r="1244" spans="30:32">
      <c r="AD1244" s="50">
        <v>556.1</v>
      </c>
      <c r="AE1244" s="51">
        <v>88.938000000000002</v>
      </c>
      <c r="AF1244" s="52">
        <f t="shared" si="263"/>
        <v>5.0912641007277118E-2</v>
      </c>
    </row>
    <row r="1245" spans="30:32">
      <c r="AD1245" s="50">
        <v>556</v>
      </c>
      <c r="AE1245" s="51">
        <v>88.852000000000004</v>
      </c>
      <c r="AF1245" s="52">
        <f t="shared" si="263"/>
        <v>5.1332792065904721E-2</v>
      </c>
    </row>
    <row r="1246" spans="30:32">
      <c r="AD1246" s="50">
        <v>555.9</v>
      </c>
      <c r="AE1246" s="51">
        <v>88.831000000000003</v>
      </c>
      <c r="AF1246" s="52">
        <f t="shared" si="263"/>
        <v>5.1435448866639005E-2</v>
      </c>
    </row>
    <row r="1247" spans="30:32">
      <c r="AD1247" s="50">
        <v>555.79999999999995</v>
      </c>
      <c r="AE1247" s="51">
        <v>88.709000000000003</v>
      </c>
      <c r="AF1247" s="52">
        <f t="shared" si="263"/>
        <v>5.2032316447261889E-2</v>
      </c>
    </row>
    <row r="1248" spans="30:32">
      <c r="AD1248" s="50">
        <v>555.70000000000005</v>
      </c>
      <c r="AE1248" s="51">
        <v>88.542000000000002</v>
      </c>
      <c r="AF1248" s="52">
        <f t="shared" si="263"/>
        <v>5.2850672337362618E-2</v>
      </c>
    </row>
    <row r="1249" spans="30:32">
      <c r="AD1249" s="50">
        <v>555.6</v>
      </c>
      <c r="AE1249" s="51">
        <v>88.451999999999998</v>
      </c>
      <c r="AF1249" s="52">
        <f t="shared" si="263"/>
        <v>5.3292342752631838E-2</v>
      </c>
    </row>
    <row r="1250" spans="30:32">
      <c r="AD1250" s="50">
        <v>555.5</v>
      </c>
      <c r="AE1250" s="51">
        <v>88.283000000000001</v>
      </c>
      <c r="AF1250" s="52">
        <f t="shared" si="263"/>
        <v>5.4122917226417808E-2</v>
      </c>
    </row>
    <row r="1251" spans="30:32">
      <c r="AD1251" s="50">
        <v>555.4</v>
      </c>
      <c r="AE1251" s="51">
        <v>88.167000000000002</v>
      </c>
      <c r="AF1251" s="52">
        <f t="shared" si="263"/>
        <v>5.4693936406450538E-2</v>
      </c>
    </row>
    <row r="1252" spans="30:32">
      <c r="AD1252" s="50">
        <v>555.29999999999995</v>
      </c>
      <c r="AE1252" s="51">
        <v>88.024000000000001</v>
      </c>
      <c r="AF1252" s="52">
        <f t="shared" si="263"/>
        <v>5.5398900048733032E-2</v>
      </c>
    </row>
    <row r="1253" spans="30:32">
      <c r="AD1253" s="50">
        <v>555.20000000000005</v>
      </c>
      <c r="AE1253" s="51">
        <v>87.876999999999995</v>
      </c>
      <c r="AF1253" s="52">
        <f t="shared" si="263"/>
        <v>5.6124777715168453E-2</v>
      </c>
    </row>
    <row r="1254" spans="30:32">
      <c r="AD1254" s="50">
        <v>555.1</v>
      </c>
      <c r="AE1254" s="51">
        <v>87.716999999999999</v>
      </c>
      <c r="AF1254" s="52">
        <f t="shared" si="263"/>
        <v>5.6916230000959613E-2</v>
      </c>
    </row>
    <row r="1255" spans="30:32">
      <c r="AD1255" s="50">
        <v>555</v>
      </c>
      <c r="AE1255" s="51">
        <v>87.495000000000005</v>
      </c>
      <c r="AF1255" s="52">
        <f t="shared" si="263"/>
        <v>5.8016764514303307E-2</v>
      </c>
    </row>
    <row r="1256" spans="30:32">
      <c r="AD1256" s="50">
        <v>554.9</v>
      </c>
      <c r="AE1256" s="51">
        <v>87.302999999999997</v>
      </c>
      <c r="AF1256" s="52">
        <f t="shared" si="263"/>
        <v>5.8970832341854011E-2</v>
      </c>
    </row>
    <row r="1257" spans="30:32">
      <c r="AD1257" s="50">
        <v>554.79999999999995</v>
      </c>
      <c r="AE1257" s="51">
        <v>87.099000000000004</v>
      </c>
      <c r="AF1257" s="52">
        <f t="shared" si="263"/>
        <v>5.9986831180339095E-2</v>
      </c>
    </row>
    <row r="1258" spans="30:32">
      <c r="AD1258" s="50">
        <v>554.70000000000005</v>
      </c>
      <c r="AE1258" s="51">
        <v>86.933999999999997</v>
      </c>
      <c r="AF1258" s="52">
        <f t="shared" si="263"/>
        <v>6.0810337193394327E-2</v>
      </c>
    </row>
    <row r="1259" spans="30:32">
      <c r="AD1259" s="50">
        <v>554.6</v>
      </c>
      <c r="AE1259" s="51">
        <v>86.760999999999996</v>
      </c>
      <c r="AF1259" s="52">
        <f t="shared" si="263"/>
        <v>6.1675450987269516E-2</v>
      </c>
    </row>
    <row r="1260" spans="30:32">
      <c r="AD1260" s="50">
        <v>554.5</v>
      </c>
      <c r="AE1260" s="51">
        <v>86.572999999999993</v>
      </c>
      <c r="AF1260" s="52">
        <f t="shared" si="263"/>
        <v>6.2617532686347455E-2</v>
      </c>
    </row>
    <row r="1261" spans="30:32">
      <c r="AD1261" s="50">
        <v>554.4</v>
      </c>
      <c r="AE1261" s="51">
        <v>86.33</v>
      </c>
      <c r="AF1261" s="52">
        <f t="shared" si="263"/>
        <v>6.3838259088842386E-2</v>
      </c>
    </row>
    <row r="1262" spans="30:32">
      <c r="AD1262" s="50">
        <v>554.29999999999995</v>
      </c>
      <c r="AE1262" s="51">
        <v>86.156000000000006</v>
      </c>
      <c r="AF1262" s="52">
        <f t="shared" si="263"/>
        <v>6.4714472410322285E-2</v>
      </c>
    </row>
    <row r="1263" spans="30:32">
      <c r="AD1263" s="50">
        <v>554.20000000000005</v>
      </c>
      <c r="AE1263" s="51">
        <v>85.977000000000004</v>
      </c>
      <c r="AF1263" s="52">
        <f t="shared" si="263"/>
        <v>6.561771281492064E-2</v>
      </c>
    </row>
    <row r="1264" spans="30:32">
      <c r="AD1264" s="50">
        <v>554.1</v>
      </c>
      <c r="AE1264" s="51">
        <v>85.778000000000006</v>
      </c>
      <c r="AF1264" s="52">
        <f t="shared" si="263"/>
        <v>6.6624083989807986E-2</v>
      </c>
    </row>
    <row r="1265" spans="30:32">
      <c r="AD1265" s="50">
        <v>554</v>
      </c>
      <c r="AE1265" s="51">
        <v>85.58</v>
      </c>
      <c r="AF1265" s="52">
        <f t="shared" si="263"/>
        <v>6.7627717852086031E-2</v>
      </c>
    </row>
    <row r="1266" spans="30:32">
      <c r="AD1266" s="50">
        <v>553.9</v>
      </c>
      <c r="AE1266" s="51">
        <v>85.355999999999995</v>
      </c>
      <c r="AF1266" s="52">
        <f t="shared" si="263"/>
        <v>6.8765945254524591E-2</v>
      </c>
    </row>
    <row r="1267" spans="30:32">
      <c r="AD1267" s="50">
        <v>553.79999999999995</v>
      </c>
      <c r="AE1267" s="51">
        <v>85.141000000000005</v>
      </c>
      <c r="AF1267" s="52">
        <f t="shared" si="263"/>
        <v>6.9861253243549373E-2</v>
      </c>
    </row>
    <row r="1268" spans="30:32">
      <c r="AD1268" s="50">
        <v>553.70000000000005</v>
      </c>
      <c r="AE1268" s="51">
        <v>84.986000000000004</v>
      </c>
      <c r="AF1268" s="52">
        <f t="shared" si="263"/>
        <v>7.0652611032973392E-2</v>
      </c>
    </row>
    <row r="1269" spans="30:32">
      <c r="AD1269" s="50">
        <v>553.6</v>
      </c>
      <c r="AE1269" s="51">
        <v>84.792000000000002</v>
      </c>
      <c r="AF1269" s="52">
        <f t="shared" si="263"/>
        <v>7.1645120853548488E-2</v>
      </c>
    </row>
    <row r="1270" spans="30:32">
      <c r="AD1270" s="50">
        <v>553.5</v>
      </c>
      <c r="AE1270" s="51">
        <v>84.647999999999996</v>
      </c>
      <c r="AF1270" s="52">
        <f t="shared" si="263"/>
        <v>7.2383298620904341E-2</v>
      </c>
    </row>
    <row r="1271" spans="30:32">
      <c r="AD1271" s="50">
        <v>553.4</v>
      </c>
      <c r="AE1271" s="51">
        <v>84.513000000000005</v>
      </c>
      <c r="AF1271" s="52">
        <f t="shared" si="263"/>
        <v>7.3076481653682801E-2</v>
      </c>
    </row>
    <row r="1272" spans="30:32">
      <c r="AD1272" s="50">
        <v>553.29999999999995</v>
      </c>
      <c r="AE1272" s="51">
        <v>84.322999999999993</v>
      </c>
      <c r="AF1272" s="52">
        <f t="shared" si="263"/>
        <v>7.4053950752629466E-2</v>
      </c>
    </row>
    <row r="1273" spans="30:32">
      <c r="AD1273" s="50">
        <v>553.20000000000005</v>
      </c>
      <c r="AE1273" s="51">
        <v>84.265000000000001</v>
      </c>
      <c r="AF1273" s="52">
        <f t="shared" si="263"/>
        <v>7.4352774879425834E-2</v>
      </c>
    </row>
    <row r="1274" spans="30:32">
      <c r="AD1274" s="50">
        <v>553.1</v>
      </c>
      <c r="AE1274" s="51">
        <v>84.119</v>
      </c>
      <c r="AF1274" s="52">
        <f t="shared" si="263"/>
        <v>7.5105898813383212E-2</v>
      </c>
    </row>
    <row r="1275" spans="30:32">
      <c r="AD1275" s="50">
        <v>553</v>
      </c>
      <c r="AE1275" s="51">
        <v>84.025000000000006</v>
      </c>
      <c r="AF1275" s="52">
        <f t="shared" si="263"/>
        <v>7.5591478858484926E-2</v>
      </c>
    </row>
    <row r="1276" spans="30:32">
      <c r="AD1276" s="50">
        <v>552.9</v>
      </c>
      <c r="AE1276" s="51">
        <v>83.912999999999997</v>
      </c>
      <c r="AF1276" s="52">
        <f t="shared" si="263"/>
        <v>7.6170752032925074E-2</v>
      </c>
    </row>
    <row r="1277" spans="30:32">
      <c r="AD1277" s="50">
        <v>552.79999999999995</v>
      </c>
      <c r="AE1277" s="51">
        <v>83.775999999999996</v>
      </c>
      <c r="AF1277" s="52">
        <f t="shared" si="263"/>
        <v>7.6880379465357057E-2</v>
      </c>
    </row>
    <row r="1278" spans="30:32">
      <c r="AD1278" s="50">
        <v>552.70000000000005</v>
      </c>
      <c r="AE1278" s="51">
        <v>83.685000000000002</v>
      </c>
      <c r="AF1278" s="52">
        <f t="shared" si="263"/>
        <v>7.7352379533949592E-2</v>
      </c>
    </row>
    <row r="1279" spans="30:32">
      <c r="AD1279" s="50">
        <v>552.6</v>
      </c>
      <c r="AE1279" s="51">
        <v>83.572999999999993</v>
      </c>
      <c r="AF1279" s="52">
        <f t="shared" si="263"/>
        <v>7.7934007787824625E-2</v>
      </c>
    </row>
    <row r="1280" spans="30:32">
      <c r="AD1280" s="50">
        <v>552.5</v>
      </c>
      <c r="AE1280" s="51">
        <v>83.456999999999994</v>
      </c>
      <c r="AF1280" s="52">
        <f t="shared" si="263"/>
        <v>7.85372307777078E-2</v>
      </c>
    </row>
    <row r="1281" spans="30:32">
      <c r="AD1281" s="50">
        <v>552.4</v>
      </c>
      <c r="AE1281" s="51">
        <v>83.322999999999993</v>
      </c>
      <c r="AF1281" s="52">
        <f t="shared" si="263"/>
        <v>7.9235101902512886E-2</v>
      </c>
    </row>
    <row r="1282" spans="30:32">
      <c r="AD1282" s="50">
        <v>552.29999999999995</v>
      </c>
      <c r="AE1282" s="51">
        <v>83.262</v>
      </c>
      <c r="AF1282" s="52">
        <f t="shared" si="263"/>
        <v>7.9553161326592764E-2</v>
      </c>
    </row>
    <row r="1283" spans="30:32">
      <c r="AD1283" s="50">
        <v>552.20000000000005</v>
      </c>
      <c r="AE1283" s="51">
        <v>83.168999999999997</v>
      </c>
      <c r="AF1283" s="52">
        <f t="shared" si="263"/>
        <v>8.0038520316454281E-2</v>
      </c>
    </row>
    <row r="1284" spans="30:32">
      <c r="AD1284" s="50">
        <v>552.1</v>
      </c>
      <c r="AE1284" s="51">
        <v>83.037999999999997</v>
      </c>
      <c r="AF1284" s="52">
        <f t="shared" si="263"/>
        <v>8.0723119507947097E-2</v>
      </c>
    </row>
    <row r="1285" spans="30:32">
      <c r="AD1285" s="50">
        <v>552</v>
      </c>
      <c r="AE1285" s="51">
        <v>82.941000000000003</v>
      </c>
      <c r="AF1285" s="52">
        <f t="shared" ref="AF1285:AF1348" si="264">-LOG(AE1285/100)</f>
        <v>8.1230732754689616E-2</v>
      </c>
    </row>
    <row r="1286" spans="30:32">
      <c r="AD1286" s="50">
        <v>551.9</v>
      </c>
      <c r="AE1286" s="51">
        <v>82.858999999999995</v>
      </c>
      <c r="AF1286" s="52">
        <f t="shared" si="264"/>
        <v>8.1660312373744631E-2</v>
      </c>
    </row>
    <row r="1287" spans="30:32">
      <c r="AD1287" s="50">
        <v>551.79999999999995</v>
      </c>
      <c r="AE1287" s="51">
        <v>82.787000000000006</v>
      </c>
      <c r="AF1287" s="52">
        <f t="shared" si="264"/>
        <v>8.2037854900171667E-2</v>
      </c>
    </row>
    <row r="1288" spans="30:32">
      <c r="AD1288" s="50">
        <v>551.70000000000005</v>
      </c>
      <c r="AE1288" s="51">
        <v>82.656999999999996</v>
      </c>
      <c r="AF1288" s="52">
        <f t="shared" si="264"/>
        <v>8.2720361298312825E-2</v>
      </c>
    </row>
    <row r="1289" spans="30:32">
      <c r="AD1289" s="50">
        <v>551.6</v>
      </c>
      <c r="AE1289" s="51">
        <v>82.507000000000005</v>
      </c>
      <c r="AF1289" s="52">
        <f t="shared" si="264"/>
        <v>8.3509203784519509E-2</v>
      </c>
    </row>
    <row r="1290" spans="30:32">
      <c r="AD1290" s="50">
        <v>551.5</v>
      </c>
      <c r="AE1290" s="51">
        <v>82.424000000000007</v>
      </c>
      <c r="AF1290" s="52">
        <f t="shared" si="264"/>
        <v>8.3946313182278645E-2</v>
      </c>
    </row>
    <row r="1291" spans="30:32">
      <c r="AD1291" s="50">
        <v>551.4</v>
      </c>
      <c r="AE1291" s="51">
        <v>82.292000000000002</v>
      </c>
      <c r="AF1291" s="52">
        <f t="shared" si="264"/>
        <v>8.4642382585168222E-2</v>
      </c>
    </row>
    <row r="1292" spans="30:32">
      <c r="AD1292" s="50">
        <v>551.29999999999995</v>
      </c>
      <c r="AE1292" s="51">
        <v>82.088999999999999</v>
      </c>
      <c r="AF1292" s="52">
        <f t="shared" si="264"/>
        <v>8.5715034833833595E-2</v>
      </c>
    </row>
    <row r="1293" spans="30:32">
      <c r="AD1293" s="50">
        <v>551.20000000000005</v>
      </c>
      <c r="AE1293" s="51">
        <v>81.951999999999998</v>
      </c>
      <c r="AF1293" s="52">
        <f t="shared" si="264"/>
        <v>8.6440443211664317E-2</v>
      </c>
    </row>
    <row r="1294" spans="30:32">
      <c r="AD1294" s="50">
        <v>551.1</v>
      </c>
      <c r="AE1294" s="51">
        <v>81.808000000000007</v>
      </c>
      <c r="AF1294" s="52">
        <f t="shared" si="264"/>
        <v>8.7204224617538226E-2</v>
      </c>
    </row>
    <row r="1295" spans="30:32">
      <c r="AD1295" s="50">
        <v>551</v>
      </c>
      <c r="AE1295" s="51">
        <v>81.653999999999996</v>
      </c>
      <c r="AF1295" s="52">
        <f t="shared" si="264"/>
        <v>8.8022535539962352E-2</v>
      </c>
    </row>
    <row r="1296" spans="30:32">
      <c r="AD1296" s="50">
        <v>550.9</v>
      </c>
      <c r="AE1296" s="51">
        <v>81.507000000000005</v>
      </c>
      <c r="AF1296" s="52">
        <f t="shared" si="264"/>
        <v>8.8805091495286967E-2</v>
      </c>
    </row>
    <row r="1297" spans="30:32">
      <c r="AD1297" s="50">
        <v>550.79999999999995</v>
      </c>
      <c r="AE1297" s="51">
        <v>81.361000000000004</v>
      </c>
      <c r="AF1297" s="52">
        <f t="shared" si="264"/>
        <v>8.9583722182006026E-2</v>
      </c>
    </row>
    <row r="1298" spans="30:32">
      <c r="AD1298" s="50">
        <v>550.70000000000005</v>
      </c>
      <c r="AE1298" s="51">
        <v>81.180999999999997</v>
      </c>
      <c r="AF1298" s="52">
        <f t="shared" si="264"/>
        <v>9.0545603279794787E-2</v>
      </c>
    </row>
    <row r="1299" spans="30:32">
      <c r="AD1299" s="50">
        <v>550.6</v>
      </c>
      <c r="AE1299" s="51">
        <v>81.010999999999996</v>
      </c>
      <c r="AF1299" s="52">
        <f t="shared" si="264"/>
        <v>9.1456006862710076E-2</v>
      </c>
    </row>
    <row r="1300" spans="30:32">
      <c r="AD1300" s="50">
        <v>550.5</v>
      </c>
      <c r="AE1300" s="51">
        <v>80.894000000000005</v>
      </c>
      <c r="AF1300" s="52">
        <f t="shared" si="264"/>
        <v>9.2083689308931321E-2</v>
      </c>
    </row>
    <row r="1301" spans="30:32">
      <c r="AD1301" s="50">
        <v>550.4</v>
      </c>
      <c r="AE1301" s="51">
        <v>80.772000000000006</v>
      </c>
      <c r="AF1301" s="52">
        <f t="shared" si="264"/>
        <v>9.2739163395629209E-2</v>
      </c>
    </row>
    <row r="1302" spans="30:32">
      <c r="AD1302" s="50">
        <v>550.29999999999995</v>
      </c>
      <c r="AE1302" s="51">
        <v>80.61</v>
      </c>
      <c r="AF1302" s="52">
        <f t="shared" si="264"/>
        <v>9.3611078847169085E-2</v>
      </c>
    </row>
    <row r="1303" spans="30:32">
      <c r="AD1303" s="50">
        <v>550.20000000000005</v>
      </c>
      <c r="AE1303" s="51">
        <v>80.402000000000001</v>
      </c>
      <c r="AF1303" s="52">
        <f t="shared" si="264"/>
        <v>9.473314804059553E-2</v>
      </c>
    </row>
    <row r="1304" spans="30:32">
      <c r="AD1304" s="50">
        <v>550.1</v>
      </c>
      <c r="AE1304" s="51">
        <v>80.195999999999998</v>
      </c>
      <c r="AF1304" s="52">
        <f t="shared" si="264"/>
        <v>9.5847292828681874E-2</v>
      </c>
    </row>
    <row r="1305" spans="30:32">
      <c r="AD1305" s="50">
        <v>550</v>
      </c>
      <c r="AE1305" s="51">
        <v>80.082999999999998</v>
      </c>
      <c r="AF1305" s="52">
        <f t="shared" si="264"/>
        <v>9.645966606018562E-2</v>
      </c>
    </row>
    <row r="1306" spans="30:32">
      <c r="AD1306" s="50">
        <v>549.9</v>
      </c>
      <c r="AE1306" s="51">
        <v>79.885000000000005</v>
      </c>
      <c r="AF1306" s="52">
        <f t="shared" si="264"/>
        <v>9.7534760470690304E-2</v>
      </c>
    </row>
    <row r="1307" spans="30:32">
      <c r="AD1307" s="50">
        <v>549.79999999999995</v>
      </c>
      <c r="AE1307" s="51">
        <v>79.706999999999994</v>
      </c>
      <c r="AF1307" s="52">
        <f t="shared" si="264"/>
        <v>9.8503536472421979E-2</v>
      </c>
    </row>
    <row r="1308" spans="30:32">
      <c r="AD1308" s="50">
        <v>549.70000000000005</v>
      </c>
      <c r="AE1308" s="51">
        <v>79.453000000000003</v>
      </c>
      <c r="AF1308" s="52">
        <f t="shared" si="264"/>
        <v>9.9889699981483268E-2</v>
      </c>
    </row>
    <row r="1309" spans="30:32">
      <c r="AD1309" s="50">
        <v>549.6</v>
      </c>
      <c r="AE1309" s="51">
        <v>79.239000000000004</v>
      </c>
      <c r="AF1309" s="52">
        <f t="shared" si="264"/>
        <v>0.10106101391620506</v>
      </c>
    </row>
    <row r="1310" spans="30:32">
      <c r="AD1310" s="50">
        <v>549.5</v>
      </c>
      <c r="AE1310" s="51">
        <v>79.010000000000005</v>
      </c>
      <c r="AF1310" s="52">
        <f t="shared" si="264"/>
        <v>0.10231793820358007</v>
      </c>
    </row>
    <row r="1311" spans="30:32">
      <c r="AD1311" s="50">
        <v>549.4</v>
      </c>
      <c r="AE1311" s="51">
        <v>78.674999999999997</v>
      </c>
      <c r="AF1311" s="52">
        <f t="shared" si="264"/>
        <v>0.10416324841474212</v>
      </c>
    </row>
    <row r="1312" spans="30:32">
      <c r="AD1312" s="50">
        <v>549.29999999999995</v>
      </c>
      <c r="AE1312" s="51">
        <v>78.402000000000001</v>
      </c>
      <c r="AF1312" s="52">
        <f t="shared" si="264"/>
        <v>0.10567285851600727</v>
      </c>
    </row>
    <row r="1313" spans="30:32">
      <c r="AD1313" s="50">
        <v>549.20000000000005</v>
      </c>
      <c r="AE1313" s="51">
        <v>78.123999999999995</v>
      </c>
      <c r="AF1313" s="52">
        <f t="shared" si="264"/>
        <v>0.10721552865281447</v>
      </c>
    </row>
    <row r="1314" spans="30:32">
      <c r="AD1314" s="50">
        <v>549.1</v>
      </c>
      <c r="AE1314" s="51">
        <v>77.841999999999999</v>
      </c>
      <c r="AF1314" s="52">
        <f t="shared" si="264"/>
        <v>0.10878601423758025</v>
      </c>
    </row>
    <row r="1315" spans="30:32">
      <c r="AD1315" s="50">
        <v>549</v>
      </c>
      <c r="AE1315" s="51">
        <v>77.561999999999998</v>
      </c>
      <c r="AF1315" s="52">
        <f t="shared" si="264"/>
        <v>0.11035100080832619</v>
      </c>
    </row>
    <row r="1316" spans="30:32">
      <c r="AD1316" s="50">
        <v>548.9</v>
      </c>
      <c r="AE1316" s="51">
        <v>77.22</v>
      </c>
      <c r="AF1316" s="52">
        <f t="shared" si="264"/>
        <v>0.11227020271196969</v>
      </c>
    </row>
    <row r="1317" spans="30:32">
      <c r="AD1317" s="50">
        <v>548.79999999999995</v>
      </c>
      <c r="AE1317" s="51">
        <v>76.864000000000004</v>
      </c>
      <c r="AF1317" s="52">
        <f t="shared" si="264"/>
        <v>0.11427701861320679</v>
      </c>
    </row>
    <row r="1318" spans="30:32">
      <c r="AD1318" s="50">
        <v>548.70000000000005</v>
      </c>
      <c r="AE1318" s="51">
        <v>76.555000000000007</v>
      </c>
      <c r="AF1318" s="52">
        <f t="shared" si="264"/>
        <v>0.11602643917217599</v>
      </c>
    </row>
    <row r="1319" spans="30:32">
      <c r="AD1319" s="50">
        <v>548.6</v>
      </c>
      <c r="AE1319" s="51">
        <v>76.212000000000003</v>
      </c>
      <c r="AF1319" s="52">
        <f t="shared" si="264"/>
        <v>0.11797664121330073</v>
      </c>
    </row>
    <row r="1320" spans="30:32">
      <c r="AD1320" s="50">
        <v>548.5</v>
      </c>
      <c r="AE1320" s="51">
        <v>75.858000000000004</v>
      </c>
      <c r="AF1320" s="52">
        <f t="shared" si="264"/>
        <v>0.11999861167823091</v>
      </c>
    </row>
    <row r="1321" spans="30:32">
      <c r="AD1321" s="50">
        <v>548.4</v>
      </c>
      <c r="AE1321" s="51">
        <v>75.5</v>
      </c>
      <c r="AF1321" s="52">
        <f t="shared" si="264"/>
        <v>0.12205304837081175</v>
      </c>
    </row>
    <row r="1322" spans="30:32">
      <c r="AD1322" s="50">
        <v>548.29999999999995</v>
      </c>
      <c r="AE1322" s="51">
        <v>75.146000000000001</v>
      </c>
      <c r="AF1322" s="52">
        <f t="shared" si="264"/>
        <v>0.12409413183238287</v>
      </c>
    </row>
    <row r="1323" spans="30:32">
      <c r="AD1323" s="50">
        <v>548.20000000000005</v>
      </c>
      <c r="AE1323" s="51">
        <v>74.808000000000007</v>
      </c>
      <c r="AF1323" s="52">
        <f t="shared" si="264"/>
        <v>0.12605195601155408</v>
      </c>
    </row>
    <row r="1324" spans="30:32">
      <c r="AD1324" s="50">
        <v>548.1</v>
      </c>
      <c r="AE1324" s="51">
        <v>74.393000000000001</v>
      </c>
      <c r="AF1324" s="52">
        <f t="shared" si="264"/>
        <v>0.12846792741643223</v>
      </c>
    </row>
    <row r="1325" spans="30:32">
      <c r="AD1325" s="50">
        <v>548</v>
      </c>
      <c r="AE1325" s="51">
        <v>74.100999999999999</v>
      </c>
      <c r="AF1325" s="52">
        <f t="shared" si="264"/>
        <v>0.13017593113603668</v>
      </c>
    </row>
    <row r="1326" spans="30:32">
      <c r="AD1326" s="50">
        <v>547.9</v>
      </c>
      <c r="AE1326" s="51">
        <v>73.793000000000006</v>
      </c>
      <c r="AF1326" s="52">
        <f t="shared" si="264"/>
        <v>0.131984833374232</v>
      </c>
    </row>
    <row r="1327" spans="30:32">
      <c r="AD1327" s="50">
        <v>547.79999999999995</v>
      </c>
      <c r="AE1327" s="51">
        <v>73.489999999999995</v>
      </c>
      <c r="AF1327" s="52">
        <f t="shared" si="264"/>
        <v>0.13377175262035279</v>
      </c>
    </row>
    <row r="1328" spans="30:32">
      <c r="AD1328" s="50">
        <v>547.70000000000005</v>
      </c>
      <c r="AE1328" s="51">
        <v>73.225999999999999</v>
      </c>
      <c r="AF1328" s="52">
        <f t="shared" si="264"/>
        <v>0.13533468872773688</v>
      </c>
    </row>
    <row r="1329" spans="30:32">
      <c r="AD1329" s="50">
        <v>547.6</v>
      </c>
      <c r="AE1329" s="51">
        <v>73.033000000000001</v>
      </c>
      <c r="AF1329" s="52">
        <f t="shared" si="264"/>
        <v>0.136480859338204</v>
      </c>
    </row>
    <row r="1330" spans="30:32">
      <c r="AD1330" s="50">
        <v>547.5</v>
      </c>
      <c r="AE1330" s="51">
        <v>72.8</v>
      </c>
      <c r="AF1330" s="52">
        <f t="shared" si="264"/>
        <v>0.13786862068696282</v>
      </c>
    </row>
    <row r="1331" spans="30:32">
      <c r="AD1331" s="50">
        <v>547.4</v>
      </c>
      <c r="AE1331" s="51">
        <v>72.581999999999994</v>
      </c>
      <c r="AF1331" s="52">
        <f t="shared" si="264"/>
        <v>0.13917106896824419</v>
      </c>
    </row>
    <row r="1332" spans="30:32">
      <c r="AD1332" s="50">
        <v>547.29999999999995</v>
      </c>
      <c r="AE1332" s="51">
        <v>72.373999999999995</v>
      </c>
      <c r="AF1332" s="52">
        <f t="shared" si="264"/>
        <v>0.14041742392056597</v>
      </c>
    </row>
    <row r="1333" spans="30:32">
      <c r="AD1333" s="50">
        <v>547.20000000000005</v>
      </c>
      <c r="AE1333" s="51">
        <v>72.180999999999997</v>
      </c>
      <c r="AF1333" s="52">
        <f t="shared" si="264"/>
        <v>0.14157710549245073</v>
      </c>
    </row>
    <row r="1334" spans="30:32">
      <c r="AD1334" s="50">
        <v>547.1</v>
      </c>
      <c r="AE1334" s="51">
        <v>72.070999999999998</v>
      </c>
      <c r="AF1334" s="52">
        <f t="shared" si="264"/>
        <v>0.14223945197317989</v>
      </c>
    </row>
    <row r="1335" spans="30:32">
      <c r="AD1335" s="50">
        <v>547</v>
      </c>
      <c r="AE1335" s="51">
        <v>71.933999999999997</v>
      </c>
      <c r="AF1335" s="52">
        <f t="shared" si="264"/>
        <v>0.1430657894193931</v>
      </c>
    </row>
    <row r="1336" spans="30:32">
      <c r="AD1336" s="50">
        <v>546.9</v>
      </c>
      <c r="AE1336" s="51">
        <v>71.796999999999997</v>
      </c>
      <c r="AF1336" s="52">
        <f t="shared" si="264"/>
        <v>0.14389370214579827</v>
      </c>
    </row>
    <row r="1337" spans="30:32">
      <c r="AD1337" s="50">
        <v>546.79999999999995</v>
      </c>
      <c r="AE1337" s="51">
        <v>71.709000000000003</v>
      </c>
      <c r="AF1337" s="52">
        <f t="shared" si="264"/>
        <v>0.14442633380158798</v>
      </c>
    </row>
    <row r="1338" spans="30:32">
      <c r="AD1338" s="50">
        <v>546.70000000000005</v>
      </c>
      <c r="AE1338" s="51">
        <v>71.625</v>
      </c>
      <c r="AF1338" s="52">
        <f t="shared" si="264"/>
        <v>0.14493536502455359</v>
      </c>
    </row>
    <row r="1339" spans="30:32">
      <c r="AD1339" s="50">
        <v>546.6</v>
      </c>
      <c r="AE1339" s="51">
        <v>71.584999999999994</v>
      </c>
      <c r="AF1339" s="52">
        <f t="shared" si="264"/>
        <v>0.14517797070471392</v>
      </c>
    </row>
    <row r="1340" spans="30:32">
      <c r="AD1340" s="50">
        <v>546.5</v>
      </c>
      <c r="AE1340" s="51">
        <v>71.534999999999997</v>
      </c>
      <c r="AF1340" s="52">
        <f t="shared" si="264"/>
        <v>0.14548141851045171</v>
      </c>
    </row>
    <row r="1341" spans="30:32">
      <c r="AD1341" s="50">
        <v>546.4</v>
      </c>
      <c r="AE1341" s="51">
        <v>71.494</v>
      </c>
      <c r="AF1341" s="52">
        <f t="shared" si="264"/>
        <v>0.14573040402032375</v>
      </c>
    </row>
    <row r="1342" spans="30:32">
      <c r="AD1342" s="50">
        <v>546.29999999999995</v>
      </c>
      <c r="AE1342" s="51">
        <v>71.472999999999999</v>
      </c>
      <c r="AF1342" s="52">
        <f t="shared" si="264"/>
        <v>0.14585798848646717</v>
      </c>
    </row>
    <row r="1343" spans="30:32">
      <c r="AD1343" s="50">
        <v>546.20000000000005</v>
      </c>
      <c r="AE1343" s="51">
        <v>71.515000000000001</v>
      </c>
      <c r="AF1343" s="52">
        <f t="shared" si="264"/>
        <v>0.14560285702418338</v>
      </c>
    </row>
    <row r="1344" spans="30:32">
      <c r="AD1344" s="50">
        <v>546.1</v>
      </c>
      <c r="AE1344" s="51">
        <v>71.478999999999999</v>
      </c>
      <c r="AF1344" s="52">
        <f t="shared" si="264"/>
        <v>0.14582153195710132</v>
      </c>
    </row>
    <row r="1345" spans="30:32">
      <c r="AD1345" s="50">
        <v>546</v>
      </c>
      <c r="AE1345" s="51">
        <v>71.433999999999997</v>
      </c>
      <c r="AF1345" s="52">
        <f t="shared" si="264"/>
        <v>0.14609503055179232</v>
      </c>
    </row>
    <row r="1346" spans="30:32">
      <c r="AD1346" s="50">
        <v>545.9</v>
      </c>
      <c r="AE1346" s="51">
        <v>71.432000000000002</v>
      </c>
      <c r="AF1346" s="52">
        <f t="shared" si="264"/>
        <v>0.14610719004339787</v>
      </c>
    </row>
    <row r="1347" spans="30:32">
      <c r="AD1347" s="50">
        <v>545.79999999999995</v>
      </c>
      <c r="AE1347" s="51">
        <v>71.433999999999997</v>
      </c>
      <c r="AF1347" s="52">
        <f t="shared" si="264"/>
        <v>0.14609503055179232</v>
      </c>
    </row>
    <row r="1348" spans="30:32">
      <c r="AD1348" s="50">
        <v>545.70000000000005</v>
      </c>
      <c r="AE1348" s="51">
        <v>71.483999999999995</v>
      </c>
      <c r="AF1348" s="52">
        <f t="shared" si="264"/>
        <v>0.1457911538535305</v>
      </c>
    </row>
    <row r="1349" spans="30:32">
      <c r="AD1349" s="50">
        <v>545.6</v>
      </c>
      <c r="AE1349" s="51">
        <v>71.475999999999999</v>
      </c>
      <c r="AF1349" s="52">
        <f t="shared" ref="AF1349:AF1412" si="265">-LOG(AE1349/100)</f>
        <v>0.14583975983924471</v>
      </c>
    </row>
    <row r="1350" spans="30:32">
      <c r="AD1350" s="50">
        <v>545.5</v>
      </c>
      <c r="AE1350" s="51">
        <v>71.525000000000006</v>
      </c>
      <c r="AF1350" s="52">
        <f t="shared" si="265"/>
        <v>0.14554213352269971</v>
      </c>
    </row>
    <row r="1351" spans="30:32">
      <c r="AD1351" s="50">
        <v>545.4</v>
      </c>
      <c r="AE1351" s="51">
        <v>71.536000000000001</v>
      </c>
      <c r="AF1351" s="52">
        <f t="shared" si="265"/>
        <v>0.14547534747604343</v>
      </c>
    </row>
    <row r="1352" spans="30:32">
      <c r="AD1352" s="50">
        <v>545.29999999999995</v>
      </c>
      <c r="AE1352" s="51">
        <v>71.561999999999998</v>
      </c>
      <c r="AF1352" s="52">
        <f t="shared" si="265"/>
        <v>0.14531753036254447</v>
      </c>
    </row>
    <row r="1353" spans="30:32">
      <c r="AD1353" s="50">
        <v>545.20000000000005</v>
      </c>
      <c r="AE1353" s="51">
        <v>71.611000000000004</v>
      </c>
      <c r="AF1353" s="52">
        <f t="shared" si="265"/>
        <v>0.14502026159756606</v>
      </c>
    </row>
    <row r="1354" spans="30:32">
      <c r="AD1354" s="50">
        <v>545.1</v>
      </c>
      <c r="AE1354" s="51">
        <v>71.64</v>
      </c>
      <c r="AF1354" s="52">
        <f t="shared" si="265"/>
        <v>0.14484442282300605</v>
      </c>
    </row>
    <row r="1355" spans="30:32">
      <c r="AD1355" s="50">
        <v>545</v>
      </c>
      <c r="AE1355" s="51">
        <v>71.671000000000006</v>
      </c>
      <c r="AF1355" s="52">
        <f t="shared" si="265"/>
        <v>0.14465653593157432</v>
      </c>
    </row>
    <row r="1356" spans="30:32">
      <c r="AD1356" s="50">
        <v>544.9</v>
      </c>
      <c r="AE1356" s="51">
        <v>71.713999999999999</v>
      </c>
      <c r="AF1356" s="52">
        <f t="shared" si="265"/>
        <v>0.14439605312958426</v>
      </c>
    </row>
    <row r="1357" spans="30:32">
      <c r="AD1357" s="50">
        <v>544.79999999999995</v>
      </c>
      <c r="AE1357" s="51">
        <v>71.722999999999999</v>
      </c>
      <c r="AF1357" s="52">
        <f t="shared" si="265"/>
        <v>0.14434155323984504</v>
      </c>
    </row>
    <row r="1358" spans="30:32">
      <c r="AD1358" s="50">
        <v>544.70000000000005</v>
      </c>
      <c r="AE1358" s="51">
        <v>71.731999999999999</v>
      </c>
      <c r="AF1358" s="52">
        <f t="shared" si="265"/>
        <v>0.14428706018847348</v>
      </c>
    </row>
    <row r="1359" spans="30:32">
      <c r="AD1359" s="50">
        <v>544.6</v>
      </c>
      <c r="AE1359" s="51">
        <v>71.722999999999999</v>
      </c>
      <c r="AF1359" s="52">
        <f t="shared" si="265"/>
        <v>0.14434155323984504</v>
      </c>
    </row>
    <row r="1360" spans="30:32">
      <c r="AD1360" s="50">
        <v>544.5</v>
      </c>
      <c r="AE1360" s="51">
        <v>71.789000000000001</v>
      </c>
      <c r="AF1360" s="52">
        <f t="shared" si="265"/>
        <v>0.14394209622124882</v>
      </c>
    </row>
    <row r="1361" spans="30:32">
      <c r="AD1361" s="50">
        <v>544.4</v>
      </c>
      <c r="AE1361" s="51">
        <v>71.795000000000002</v>
      </c>
      <c r="AF1361" s="52">
        <f t="shared" si="265"/>
        <v>0.14390580015911189</v>
      </c>
    </row>
    <row r="1362" spans="30:32">
      <c r="AD1362" s="50">
        <v>544.29999999999995</v>
      </c>
      <c r="AE1362" s="51">
        <v>71.816000000000003</v>
      </c>
      <c r="AF1362" s="52">
        <f t="shared" si="265"/>
        <v>0.1437787878246114</v>
      </c>
    </row>
    <row r="1363" spans="30:32">
      <c r="AD1363" s="50">
        <v>544.20000000000005</v>
      </c>
      <c r="AE1363" s="51">
        <v>71.822000000000003</v>
      </c>
      <c r="AF1363" s="52">
        <f t="shared" si="265"/>
        <v>0.14374250540780056</v>
      </c>
    </row>
    <row r="1364" spans="30:32">
      <c r="AD1364" s="50">
        <v>544.1</v>
      </c>
      <c r="AE1364" s="51">
        <v>71.778999999999996</v>
      </c>
      <c r="AF1364" s="52">
        <f t="shared" si="265"/>
        <v>0.14400259639992458</v>
      </c>
    </row>
    <row r="1365" spans="30:32">
      <c r="AD1365" s="50">
        <v>544</v>
      </c>
      <c r="AE1365" s="51">
        <v>71.727999999999994</v>
      </c>
      <c r="AF1365" s="52">
        <f t="shared" si="265"/>
        <v>0.1443112784782834</v>
      </c>
    </row>
    <row r="1366" spans="30:32">
      <c r="AD1366" s="50">
        <v>543.9</v>
      </c>
      <c r="AE1366" s="51">
        <v>71.671999999999997</v>
      </c>
      <c r="AF1366" s="52">
        <f t="shared" si="265"/>
        <v>0.14465047641723586</v>
      </c>
    </row>
    <row r="1367" spans="30:32">
      <c r="AD1367" s="50">
        <v>543.79999999999995</v>
      </c>
      <c r="AE1367" s="51">
        <v>71.614999999999995</v>
      </c>
      <c r="AF1367" s="52">
        <f t="shared" si="265"/>
        <v>0.14499600374036051</v>
      </c>
    </row>
    <row r="1368" spans="30:32">
      <c r="AD1368" s="50">
        <v>543.70000000000005</v>
      </c>
      <c r="AE1368" s="51">
        <v>71.55</v>
      </c>
      <c r="AF1368" s="52">
        <f t="shared" si="265"/>
        <v>0.14539036190420482</v>
      </c>
    </row>
    <row r="1369" spans="30:32">
      <c r="AD1369" s="50">
        <v>543.6</v>
      </c>
      <c r="AE1369" s="51">
        <v>71.459999999999994</v>
      </c>
      <c r="AF1369" s="52">
        <f t="shared" si="265"/>
        <v>0.14593698813357892</v>
      </c>
    </row>
    <row r="1370" spans="30:32">
      <c r="AD1370" s="50">
        <v>543.5</v>
      </c>
      <c r="AE1370" s="51">
        <v>71.38</v>
      </c>
      <c r="AF1370" s="52">
        <f t="shared" si="265"/>
        <v>0.14642345638035839</v>
      </c>
    </row>
    <row r="1371" spans="30:32">
      <c r="AD1371" s="50">
        <v>543.4</v>
      </c>
      <c r="AE1371" s="51">
        <v>71.234999999999999</v>
      </c>
      <c r="AF1371" s="52">
        <f t="shared" si="265"/>
        <v>0.14730657136230038</v>
      </c>
    </row>
    <row r="1372" spans="30:32">
      <c r="AD1372" s="50">
        <v>543.29999999999995</v>
      </c>
      <c r="AE1372" s="51">
        <v>71.099999999999994</v>
      </c>
      <c r="AF1372" s="52">
        <f t="shared" si="265"/>
        <v>0.14813039927023372</v>
      </c>
    </row>
    <row r="1373" spans="30:32">
      <c r="AD1373" s="50">
        <v>543.20000000000005</v>
      </c>
      <c r="AE1373" s="51">
        <v>70.917000000000002</v>
      </c>
      <c r="AF1373" s="52">
        <f t="shared" si="265"/>
        <v>0.14924964463066923</v>
      </c>
    </row>
    <row r="1374" spans="30:32">
      <c r="AD1374" s="50">
        <v>543.1</v>
      </c>
      <c r="AE1374" s="51">
        <v>70.817999999999998</v>
      </c>
      <c r="AF1374" s="52">
        <f t="shared" si="265"/>
        <v>0.14985634249218022</v>
      </c>
    </row>
    <row r="1375" spans="30:32">
      <c r="AD1375" s="50">
        <v>543</v>
      </c>
      <c r="AE1375" s="51">
        <v>70.616</v>
      </c>
      <c r="AF1375" s="52">
        <f t="shared" si="265"/>
        <v>0.15109688642071795</v>
      </c>
    </row>
    <row r="1376" spans="30:32">
      <c r="AD1376" s="50">
        <v>542.9</v>
      </c>
      <c r="AE1376" s="51">
        <v>70.41</v>
      </c>
      <c r="AF1376" s="52">
        <f t="shared" si="265"/>
        <v>0.15236565568174501</v>
      </c>
    </row>
    <row r="1377" spans="30:32">
      <c r="AD1377" s="50">
        <v>542.79999999999995</v>
      </c>
      <c r="AE1377" s="51">
        <v>70.085999999999999</v>
      </c>
      <c r="AF1377" s="52">
        <f t="shared" si="265"/>
        <v>0.1543687256848737</v>
      </c>
    </row>
    <row r="1378" spans="30:32">
      <c r="AD1378" s="50">
        <v>542.70000000000005</v>
      </c>
      <c r="AE1378" s="51">
        <v>69.8</v>
      </c>
      <c r="AF1378" s="52">
        <f t="shared" si="265"/>
        <v>0.15614457737683893</v>
      </c>
    </row>
    <row r="1379" spans="30:32">
      <c r="AD1379" s="50">
        <v>542.6</v>
      </c>
      <c r="AE1379" s="51">
        <v>69.484999999999999</v>
      </c>
      <c r="AF1379" s="52">
        <f t="shared" si="265"/>
        <v>0.15810893814836643</v>
      </c>
    </row>
    <row r="1380" spans="30:32">
      <c r="AD1380" s="50">
        <v>542.5</v>
      </c>
      <c r="AE1380" s="51">
        <v>69.147000000000006</v>
      </c>
      <c r="AF1380" s="52">
        <f t="shared" si="265"/>
        <v>0.16022665737258299</v>
      </c>
    </row>
    <row r="1381" spans="30:32">
      <c r="AD1381" s="50">
        <v>542.4</v>
      </c>
      <c r="AE1381" s="51">
        <v>68.858000000000004</v>
      </c>
      <c r="AF1381" s="52">
        <f t="shared" si="265"/>
        <v>0.16204559565367879</v>
      </c>
    </row>
    <row r="1382" spans="30:32">
      <c r="AD1382" s="50">
        <v>542.29999999999995</v>
      </c>
      <c r="AE1382" s="51">
        <v>68.533000000000001</v>
      </c>
      <c r="AF1382" s="52">
        <f t="shared" si="265"/>
        <v>0.16410025672880793</v>
      </c>
    </row>
    <row r="1383" spans="30:32">
      <c r="AD1383" s="50">
        <v>542.20000000000005</v>
      </c>
      <c r="AE1383" s="51">
        <v>68.158000000000001</v>
      </c>
      <c r="AF1383" s="52">
        <f t="shared" si="265"/>
        <v>0.1664831618110077</v>
      </c>
    </row>
    <row r="1384" spans="30:32">
      <c r="AD1384" s="50">
        <v>542.1</v>
      </c>
      <c r="AE1384" s="51">
        <v>67.775000000000006</v>
      </c>
      <c r="AF1384" s="52">
        <f t="shared" si="265"/>
        <v>0.1689304737474768</v>
      </c>
    </row>
    <row r="1385" spans="30:32">
      <c r="AD1385" s="50">
        <v>542</v>
      </c>
      <c r="AE1385" s="51">
        <v>67.385000000000005</v>
      </c>
      <c r="AF1385" s="52">
        <f t="shared" si="265"/>
        <v>0.17143676729604776</v>
      </c>
    </row>
    <row r="1386" spans="30:32">
      <c r="AD1386" s="50">
        <v>541.9</v>
      </c>
      <c r="AE1386" s="51">
        <v>66.991</v>
      </c>
      <c r="AF1386" s="52">
        <f t="shared" si="265"/>
        <v>0.17398353928248597</v>
      </c>
    </row>
    <row r="1387" spans="30:32">
      <c r="AD1387" s="50">
        <v>541.79999999999995</v>
      </c>
      <c r="AE1387" s="51">
        <v>66.591999999999999</v>
      </c>
      <c r="AF1387" s="52">
        <f t="shared" si="265"/>
        <v>0.17657794146846711</v>
      </c>
    </row>
    <row r="1388" spans="30:32">
      <c r="AD1388" s="50">
        <v>541.70000000000005</v>
      </c>
      <c r="AE1388" s="51">
        <v>66.168000000000006</v>
      </c>
      <c r="AF1388" s="52">
        <f t="shared" si="265"/>
        <v>0.17935199218262024</v>
      </c>
    </row>
    <row r="1389" spans="30:32">
      <c r="AD1389" s="50">
        <v>541.6</v>
      </c>
      <c r="AE1389" s="51">
        <v>65.712999999999994</v>
      </c>
      <c r="AF1389" s="52">
        <f t="shared" si="265"/>
        <v>0.18234870548175761</v>
      </c>
    </row>
    <row r="1390" spans="30:32">
      <c r="AD1390" s="50">
        <v>541.5</v>
      </c>
      <c r="AE1390" s="51">
        <v>65.283000000000001</v>
      </c>
      <c r="AF1390" s="52">
        <f t="shared" si="265"/>
        <v>0.18519989632666695</v>
      </c>
    </row>
    <row r="1391" spans="30:32">
      <c r="AD1391" s="50">
        <v>541.4</v>
      </c>
      <c r="AE1391" s="51">
        <v>64.834999999999994</v>
      </c>
      <c r="AF1391" s="52">
        <f t="shared" si="265"/>
        <v>0.1881904848188663</v>
      </c>
    </row>
    <row r="1392" spans="30:32">
      <c r="AD1392" s="50">
        <v>541.29999999999995</v>
      </c>
      <c r="AE1392" s="51">
        <v>64.382000000000005</v>
      </c>
      <c r="AF1392" s="52">
        <f t="shared" si="265"/>
        <v>0.19123553626375583</v>
      </c>
    </row>
    <row r="1393" spans="30:32">
      <c r="AD1393" s="50">
        <v>541.20000000000005</v>
      </c>
      <c r="AE1393" s="51">
        <v>63.93</v>
      </c>
      <c r="AF1393" s="52">
        <f t="shared" si="265"/>
        <v>0.19429529556613559</v>
      </c>
    </row>
    <row r="1394" spans="30:32">
      <c r="AD1394" s="50">
        <v>541.1</v>
      </c>
      <c r="AE1394" s="51">
        <v>63.472000000000001</v>
      </c>
      <c r="AF1394" s="52">
        <f t="shared" si="265"/>
        <v>0.19741781686992466</v>
      </c>
    </row>
    <row r="1395" spans="30:32">
      <c r="AD1395" s="50">
        <v>541</v>
      </c>
      <c r="AE1395" s="51">
        <v>63.058999999999997</v>
      </c>
      <c r="AF1395" s="52">
        <f t="shared" si="265"/>
        <v>0.20025292064687472</v>
      </c>
    </row>
    <row r="1396" spans="30:32">
      <c r="AD1396" s="50">
        <v>540.9</v>
      </c>
      <c r="AE1396" s="51">
        <v>62.576000000000001</v>
      </c>
      <c r="AF1396" s="52">
        <f t="shared" si="265"/>
        <v>0.20359220139194453</v>
      </c>
    </row>
    <row r="1397" spans="30:32">
      <c r="AD1397" s="50">
        <v>540.79999999999995</v>
      </c>
      <c r="AE1397" s="51">
        <v>62.033999999999999</v>
      </c>
      <c r="AF1397" s="52">
        <f t="shared" si="265"/>
        <v>0.20737021429015004</v>
      </c>
    </row>
    <row r="1398" spans="30:32">
      <c r="AD1398" s="50">
        <v>540.70000000000005</v>
      </c>
      <c r="AE1398" s="51">
        <v>61.503999999999998</v>
      </c>
      <c r="AF1398" s="52">
        <f t="shared" si="265"/>
        <v>0.21109663834756745</v>
      </c>
    </row>
    <row r="1399" spans="30:32">
      <c r="AD1399" s="50">
        <v>540.6</v>
      </c>
      <c r="AE1399" s="51">
        <v>60.905000000000001</v>
      </c>
      <c r="AF1399" s="52">
        <f t="shared" si="265"/>
        <v>0.21534705246936617</v>
      </c>
    </row>
    <row r="1400" spans="30:32">
      <c r="AD1400" s="50">
        <v>540.5</v>
      </c>
      <c r="AE1400" s="51">
        <v>60.311</v>
      </c>
      <c r="AF1400" s="52">
        <f t="shared" si="265"/>
        <v>0.21960347055273438</v>
      </c>
    </row>
    <row r="1401" spans="30:32">
      <c r="AD1401" s="50">
        <v>540.4</v>
      </c>
      <c r="AE1401" s="51">
        <v>59.692</v>
      </c>
      <c r="AF1401" s="52">
        <f t="shared" si="265"/>
        <v>0.22408386968576804</v>
      </c>
    </row>
    <row r="1402" spans="30:32">
      <c r="AD1402" s="50">
        <v>540.29999999999995</v>
      </c>
      <c r="AE1402" s="51">
        <v>59.084000000000003</v>
      </c>
      <c r="AF1402" s="52">
        <f t="shared" si="265"/>
        <v>0.22853011053133693</v>
      </c>
    </row>
    <row r="1403" spans="30:32">
      <c r="AD1403" s="50">
        <v>540.20000000000005</v>
      </c>
      <c r="AE1403" s="51">
        <v>58.466999999999999</v>
      </c>
      <c r="AF1403" s="52">
        <f t="shared" si="265"/>
        <v>0.23308918967342693</v>
      </c>
    </row>
    <row r="1404" spans="30:32">
      <c r="AD1404" s="50">
        <v>540.1</v>
      </c>
      <c r="AE1404" s="51">
        <v>57.784999999999997</v>
      </c>
      <c r="AF1404" s="52">
        <f t="shared" si="265"/>
        <v>0.23818488238693075</v>
      </c>
    </row>
    <row r="1405" spans="30:32">
      <c r="AD1405" s="50">
        <v>540</v>
      </c>
      <c r="AE1405" s="51">
        <v>57.036000000000001</v>
      </c>
      <c r="AF1405" s="52">
        <f t="shared" si="265"/>
        <v>0.24385093965761667</v>
      </c>
    </row>
    <row r="1406" spans="30:32">
      <c r="AD1406" s="50">
        <v>539.9</v>
      </c>
      <c r="AE1406" s="51">
        <v>56.295000000000002</v>
      </c>
      <c r="AF1406" s="52">
        <f t="shared" si="265"/>
        <v>0.24953017653123633</v>
      </c>
    </row>
    <row r="1407" spans="30:32">
      <c r="AD1407" s="50">
        <v>539.79999999999995</v>
      </c>
      <c r="AE1407" s="51">
        <v>55.579000000000001</v>
      </c>
      <c r="AF1407" s="52">
        <f t="shared" si="265"/>
        <v>0.25508927149151628</v>
      </c>
    </row>
    <row r="1408" spans="30:32">
      <c r="AD1408" s="50">
        <v>539.70000000000005</v>
      </c>
      <c r="AE1408" s="51">
        <v>54.890999999999998</v>
      </c>
      <c r="AF1408" s="52">
        <f t="shared" si="265"/>
        <v>0.26049885720297405</v>
      </c>
    </row>
    <row r="1409" spans="30:32">
      <c r="AD1409" s="50">
        <v>539.6</v>
      </c>
      <c r="AE1409" s="51">
        <v>54.085999999999999</v>
      </c>
      <c r="AF1409" s="52">
        <f t="shared" si="265"/>
        <v>0.26691513617974461</v>
      </c>
    </row>
    <row r="1410" spans="30:32">
      <c r="AD1410" s="50">
        <v>539.5</v>
      </c>
      <c r="AE1410" s="51">
        <v>53.283999999999999</v>
      </c>
      <c r="AF1410" s="52">
        <f t="shared" si="265"/>
        <v>0.27340318037076033</v>
      </c>
    </row>
    <row r="1411" spans="30:32">
      <c r="AD1411" s="50">
        <v>539.4</v>
      </c>
      <c r="AE1411" s="51">
        <v>52.411999999999999</v>
      </c>
      <c r="AF1411" s="52">
        <f t="shared" si="265"/>
        <v>0.28056926765113172</v>
      </c>
    </row>
    <row r="1412" spans="30:32">
      <c r="AD1412" s="50">
        <v>539.29999999999995</v>
      </c>
      <c r="AE1412" s="51">
        <v>51.607999999999997</v>
      </c>
      <c r="AF1412" s="52">
        <f t="shared" si="265"/>
        <v>0.28728297111400669</v>
      </c>
    </row>
    <row r="1413" spans="30:32">
      <c r="AD1413" s="50">
        <v>539.20000000000005</v>
      </c>
      <c r="AE1413" s="51">
        <v>50.761000000000003</v>
      </c>
      <c r="AF1413" s="52">
        <f t="shared" ref="AF1413:AF1476" si="266">-LOG(AE1413/100)</f>
        <v>0.29446983082075207</v>
      </c>
    </row>
    <row r="1414" spans="30:32">
      <c r="AD1414" s="50">
        <v>539.1</v>
      </c>
      <c r="AE1414" s="51">
        <v>49.945999999999998</v>
      </c>
      <c r="AF1414" s="52">
        <f t="shared" si="266"/>
        <v>0.30149928716748842</v>
      </c>
    </row>
    <row r="1415" spans="30:32">
      <c r="AD1415" s="50">
        <v>539</v>
      </c>
      <c r="AE1415" s="51">
        <v>49.115000000000002</v>
      </c>
      <c r="AF1415" s="52">
        <f t="shared" si="266"/>
        <v>0.30878585161720973</v>
      </c>
    </row>
    <row r="1416" spans="30:32">
      <c r="AD1416" s="50">
        <v>538.9</v>
      </c>
      <c r="AE1416" s="51">
        <v>48.319000000000003</v>
      </c>
      <c r="AF1416" s="52">
        <f t="shared" si="266"/>
        <v>0.31588206236241934</v>
      </c>
    </row>
    <row r="1417" spans="30:32">
      <c r="AD1417" s="50">
        <v>538.79999999999995</v>
      </c>
      <c r="AE1417" s="51">
        <v>47.506999999999998</v>
      </c>
      <c r="AF1417" s="52">
        <f t="shared" si="266"/>
        <v>0.32324239379848491</v>
      </c>
    </row>
    <row r="1418" spans="30:32">
      <c r="AD1418" s="50">
        <v>538.70000000000005</v>
      </c>
      <c r="AE1418" s="51">
        <v>46.728000000000002</v>
      </c>
      <c r="AF1418" s="52">
        <f t="shared" si="266"/>
        <v>0.33042280676836228</v>
      </c>
    </row>
    <row r="1419" spans="30:32">
      <c r="AD1419" s="50">
        <v>538.6</v>
      </c>
      <c r="AE1419" s="51">
        <v>45.95</v>
      </c>
      <c r="AF1419" s="52">
        <f t="shared" si="266"/>
        <v>0.33771448427786993</v>
      </c>
    </row>
    <row r="1420" spans="30:32">
      <c r="AD1420" s="50">
        <v>538.5</v>
      </c>
      <c r="AE1420" s="51">
        <v>45.23</v>
      </c>
      <c r="AF1420" s="52">
        <f t="shared" si="266"/>
        <v>0.34457341225408139</v>
      </c>
    </row>
    <row r="1421" spans="30:32">
      <c r="AD1421" s="50">
        <v>538.4</v>
      </c>
      <c r="AE1421" s="51">
        <v>44.588999999999999</v>
      </c>
      <c r="AF1421" s="52">
        <f t="shared" si="266"/>
        <v>0.35077226748784152</v>
      </c>
    </row>
    <row r="1422" spans="30:32">
      <c r="AD1422" s="50">
        <v>538.29999999999995</v>
      </c>
      <c r="AE1422" s="51">
        <v>43.915999999999997</v>
      </c>
      <c r="AF1422" s="52">
        <f t="shared" si="266"/>
        <v>0.35737722359072588</v>
      </c>
    </row>
    <row r="1423" spans="30:32">
      <c r="AD1423" s="50">
        <v>538.20000000000005</v>
      </c>
      <c r="AE1423" s="51">
        <v>43.307000000000002</v>
      </c>
      <c r="AF1423" s="52">
        <f t="shared" si="266"/>
        <v>0.36344190005154542</v>
      </c>
    </row>
    <row r="1424" spans="30:32">
      <c r="AD1424" s="50">
        <v>538.1</v>
      </c>
      <c r="AE1424" s="51">
        <v>42.688000000000002</v>
      </c>
      <c r="AF1424" s="52">
        <f t="shared" si="266"/>
        <v>0.36969419209956383</v>
      </c>
    </row>
    <row r="1425" spans="30:32">
      <c r="AD1425" s="50">
        <v>538</v>
      </c>
      <c r="AE1425" s="51">
        <v>42.177999999999997</v>
      </c>
      <c r="AF1425" s="52">
        <f t="shared" si="266"/>
        <v>0.37491401752106762</v>
      </c>
    </row>
    <row r="1426" spans="30:32">
      <c r="AD1426" s="50">
        <v>537.9</v>
      </c>
      <c r="AE1426" s="51">
        <v>41.665999999999997</v>
      </c>
      <c r="AF1426" s="52">
        <f t="shared" si="266"/>
        <v>0.38021819047890681</v>
      </c>
    </row>
    <row r="1427" spans="30:32">
      <c r="AD1427" s="50">
        <v>537.79999999999995</v>
      </c>
      <c r="AE1427" s="51">
        <v>41.223999999999997</v>
      </c>
      <c r="AF1427" s="52">
        <f t="shared" si="266"/>
        <v>0.38484987054698172</v>
      </c>
    </row>
    <row r="1428" spans="30:32">
      <c r="AD1428" s="50">
        <v>537.70000000000005</v>
      </c>
      <c r="AE1428" s="51">
        <v>40.838000000000001</v>
      </c>
      <c r="AF1428" s="52">
        <f t="shared" si="266"/>
        <v>0.38893553520002927</v>
      </c>
    </row>
    <row r="1429" spans="30:32">
      <c r="AD1429" s="50">
        <v>537.6</v>
      </c>
      <c r="AE1429" s="51">
        <v>40.462000000000003</v>
      </c>
      <c r="AF1429" s="52">
        <f t="shared" si="266"/>
        <v>0.39295265425190046</v>
      </c>
    </row>
    <row r="1430" spans="30:32">
      <c r="AD1430" s="50">
        <v>537.5</v>
      </c>
      <c r="AE1430" s="51">
        <v>40.130000000000003</v>
      </c>
      <c r="AF1430" s="52">
        <f t="shared" si="266"/>
        <v>0.3965308402661612</v>
      </c>
    </row>
    <row r="1431" spans="30:32">
      <c r="AD1431" s="50">
        <v>537.4</v>
      </c>
      <c r="AE1431" s="51">
        <v>39.841999999999999</v>
      </c>
      <c r="AF1431" s="52">
        <f t="shared" si="266"/>
        <v>0.39965886886373536</v>
      </c>
    </row>
    <row r="1432" spans="30:32">
      <c r="AD1432" s="50">
        <v>537.29999999999995</v>
      </c>
      <c r="AE1432" s="51">
        <v>39.582000000000001</v>
      </c>
      <c r="AF1432" s="52">
        <f t="shared" si="266"/>
        <v>0.40250226553590357</v>
      </c>
    </row>
    <row r="1433" spans="30:32">
      <c r="AD1433" s="50">
        <v>537.20000000000005</v>
      </c>
      <c r="AE1433" s="51">
        <v>39.320999999999998</v>
      </c>
      <c r="AF1433" s="52">
        <f t="shared" si="266"/>
        <v>0.40537544585110663</v>
      </c>
    </row>
    <row r="1434" spans="30:32">
      <c r="AD1434" s="50">
        <v>537.1</v>
      </c>
      <c r="AE1434" s="51">
        <v>39.128999999999998</v>
      </c>
      <c r="AF1434" s="52">
        <f t="shared" si="266"/>
        <v>0.4075012510012207</v>
      </c>
    </row>
    <row r="1435" spans="30:32">
      <c r="AD1435" s="50">
        <v>537</v>
      </c>
      <c r="AE1435" s="51">
        <v>38.944000000000003</v>
      </c>
      <c r="AF1435" s="52">
        <f t="shared" si="266"/>
        <v>0.40955944345002904</v>
      </c>
    </row>
    <row r="1436" spans="30:32">
      <c r="AD1436" s="50">
        <v>536.9</v>
      </c>
      <c r="AE1436" s="51">
        <v>38.790999999999997</v>
      </c>
      <c r="AF1436" s="52">
        <f t="shared" si="266"/>
        <v>0.41126902450192915</v>
      </c>
    </row>
    <row r="1437" spans="30:32">
      <c r="AD1437" s="50">
        <v>536.79999999999995</v>
      </c>
      <c r="AE1437" s="51">
        <v>38.677</v>
      </c>
      <c r="AF1437" s="52">
        <f t="shared" si="266"/>
        <v>0.41254721954182272</v>
      </c>
    </row>
    <row r="1438" spans="30:32">
      <c r="AD1438" s="50">
        <v>536.70000000000005</v>
      </c>
      <c r="AE1438" s="51">
        <v>38.573999999999998</v>
      </c>
      <c r="AF1438" s="52">
        <f t="shared" si="266"/>
        <v>0.4137053238548653</v>
      </c>
    </row>
    <row r="1439" spans="30:32">
      <c r="AD1439" s="50">
        <v>536.6</v>
      </c>
      <c r="AE1439" s="51">
        <v>38.527999999999999</v>
      </c>
      <c r="AF1439" s="52">
        <f t="shared" si="266"/>
        <v>0.41422353475828827</v>
      </c>
    </row>
    <row r="1440" spans="30:32">
      <c r="AD1440" s="50">
        <v>536.5</v>
      </c>
      <c r="AE1440" s="51">
        <v>38.511000000000003</v>
      </c>
      <c r="AF1440" s="52">
        <f t="shared" si="266"/>
        <v>0.41441520407674232</v>
      </c>
    </row>
    <row r="1441" spans="30:32">
      <c r="AD1441" s="50">
        <v>536.4</v>
      </c>
      <c r="AE1441" s="51">
        <v>38.524000000000001</v>
      </c>
      <c r="AF1441" s="52">
        <f t="shared" si="266"/>
        <v>0.41426862581184098</v>
      </c>
    </row>
    <row r="1442" spans="30:32">
      <c r="AD1442" s="50">
        <v>536.29999999999995</v>
      </c>
      <c r="AE1442" s="51">
        <v>38.569000000000003</v>
      </c>
      <c r="AF1442" s="52">
        <f t="shared" si="266"/>
        <v>0.41376162118352905</v>
      </c>
    </row>
    <row r="1443" spans="30:32">
      <c r="AD1443" s="50">
        <v>536.20000000000005</v>
      </c>
      <c r="AE1443" s="51">
        <v>38.613</v>
      </c>
      <c r="AF1443" s="52">
        <f t="shared" si="266"/>
        <v>0.41326645497187792</v>
      </c>
    </row>
    <row r="1444" spans="30:32">
      <c r="AD1444" s="50">
        <v>536.1</v>
      </c>
      <c r="AE1444" s="51">
        <v>38.761000000000003</v>
      </c>
      <c r="AF1444" s="52">
        <f t="shared" si="266"/>
        <v>0.41160502705781393</v>
      </c>
    </row>
    <row r="1445" spans="30:32">
      <c r="AD1445" s="50">
        <v>536</v>
      </c>
      <c r="AE1445" s="51">
        <v>38.951999999999998</v>
      </c>
      <c r="AF1445" s="52">
        <f t="shared" si="266"/>
        <v>0.40947023846216213</v>
      </c>
    </row>
    <row r="1446" spans="30:32">
      <c r="AD1446" s="50">
        <v>535.9</v>
      </c>
      <c r="AE1446" s="51">
        <v>39.192999999999998</v>
      </c>
      <c r="AF1446" s="52">
        <f t="shared" si="266"/>
        <v>0.40679149249075935</v>
      </c>
    </row>
    <row r="1447" spans="30:32">
      <c r="AD1447" s="50">
        <v>535.79999999999995</v>
      </c>
      <c r="AE1447" s="51">
        <v>39.517000000000003</v>
      </c>
      <c r="AF1447" s="52">
        <f t="shared" si="266"/>
        <v>0.4032160330343022</v>
      </c>
    </row>
    <row r="1448" spans="30:32">
      <c r="AD1448" s="50">
        <v>535.70000000000005</v>
      </c>
      <c r="AE1448" s="51">
        <v>39.847000000000001</v>
      </c>
      <c r="AF1448" s="52">
        <f t="shared" si="266"/>
        <v>0.39960437018983141</v>
      </c>
    </row>
    <row r="1449" spans="30:32">
      <c r="AD1449" s="50">
        <v>535.6</v>
      </c>
      <c r="AE1449" s="51">
        <v>40.253999999999998</v>
      </c>
      <c r="AF1449" s="52">
        <f t="shared" si="266"/>
        <v>0.39519095774048713</v>
      </c>
    </row>
    <row r="1450" spans="30:32">
      <c r="AD1450" s="50">
        <v>535.5</v>
      </c>
      <c r="AE1450" s="51">
        <v>40.729999999999997</v>
      </c>
      <c r="AF1450" s="52">
        <f t="shared" si="266"/>
        <v>0.39008558991400233</v>
      </c>
    </row>
    <row r="1451" spans="30:32">
      <c r="AD1451" s="50">
        <v>535.4</v>
      </c>
      <c r="AE1451" s="51">
        <v>41.274999999999999</v>
      </c>
      <c r="AF1451" s="52">
        <f t="shared" si="266"/>
        <v>0.38431291806516876</v>
      </c>
    </row>
    <row r="1452" spans="30:32">
      <c r="AD1452" s="50">
        <v>535.29999999999995</v>
      </c>
      <c r="AE1452" s="51">
        <v>41.890999999999998</v>
      </c>
      <c r="AF1452" s="52">
        <f t="shared" si="266"/>
        <v>0.37787927226474766</v>
      </c>
    </row>
    <row r="1453" spans="30:32">
      <c r="AD1453" s="50">
        <v>535.20000000000005</v>
      </c>
      <c r="AE1453" s="51">
        <v>42.555</v>
      </c>
      <c r="AF1453" s="52">
        <f t="shared" si="266"/>
        <v>0.37104940514846652</v>
      </c>
    </row>
    <row r="1454" spans="30:32">
      <c r="AD1454" s="50">
        <v>535.1</v>
      </c>
      <c r="AE1454" s="51">
        <v>43.253999999999998</v>
      </c>
      <c r="AF1454" s="52">
        <f t="shared" si="266"/>
        <v>0.36397372409279383</v>
      </c>
    </row>
    <row r="1455" spans="30:32">
      <c r="AD1455" s="50">
        <v>535</v>
      </c>
      <c r="AE1455" s="51">
        <v>43.988999999999997</v>
      </c>
      <c r="AF1455" s="52">
        <f t="shared" si="266"/>
        <v>0.35665591070825337</v>
      </c>
    </row>
    <row r="1456" spans="30:32">
      <c r="AD1456" s="50">
        <v>534.9</v>
      </c>
      <c r="AE1456" s="51">
        <v>44.807000000000002</v>
      </c>
      <c r="AF1456" s="52">
        <f t="shared" si="266"/>
        <v>0.34865413278995272</v>
      </c>
    </row>
    <row r="1457" spans="30:32">
      <c r="AD1457" s="50">
        <v>534.79999999999995</v>
      </c>
      <c r="AE1457" s="51">
        <v>45.643999999999998</v>
      </c>
      <c r="AF1457" s="52">
        <f t="shared" si="266"/>
        <v>0.34061630330275328</v>
      </c>
    </row>
    <row r="1458" spans="30:32">
      <c r="AD1458" s="50">
        <v>534.70000000000005</v>
      </c>
      <c r="AE1458" s="51">
        <v>46.591999999999999</v>
      </c>
      <c r="AF1458" s="52">
        <f t="shared" si="266"/>
        <v>0.33168864670307563</v>
      </c>
    </row>
    <row r="1459" spans="30:32">
      <c r="AD1459" s="50">
        <v>534.6</v>
      </c>
      <c r="AE1459" s="51">
        <v>47.499000000000002</v>
      </c>
      <c r="AF1459" s="52">
        <f t="shared" si="266"/>
        <v>0.32331553351310161</v>
      </c>
    </row>
    <row r="1460" spans="30:32">
      <c r="AD1460" s="50">
        <v>534.5</v>
      </c>
      <c r="AE1460" s="51">
        <v>48.582999999999998</v>
      </c>
      <c r="AF1460" s="52">
        <f t="shared" si="266"/>
        <v>0.31351567102083561</v>
      </c>
    </row>
    <row r="1461" spans="30:32">
      <c r="AD1461" s="50">
        <v>534.4</v>
      </c>
      <c r="AE1461" s="51">
        <v>49.564</v>
      </c>
      <c r="AF1461" s="52">
        <f t="shared" si="266"/>
        <v>0.30483365169413085</v>
      </c>
    </row>
    <row r="1462" spans="30:32">
      <c r="AD1462" s="50">
        <v>534.29999999999995</v>
      </c>
      <c r="AE1462" s="51">
        <v>50.552999999999997</v>
      </c>
      <c r="AF1462" s="52">
        <f t="shared" si="266"/>
        <v>0.29625306668453294</v>
      </c>
    </row>
    <row r="1463" spans="30:32">
      <c r="AD1463" s="50">
        <v>534.20000000000005</v>
      </c>
      <c r="AE1463" s="51">
        <v>51.587000000000003</v>
      </c>
      <c r="AF1463" s="52">
        <f t="shared" si="266"/>
        <v>0.28745972743448461</v>
      </c>
    </row>
    <row r="1464" spans="30:32">
      <c r="AD1464" s="50">
        <v>534.1</v>
      </c>
      <c r="AE1464" s="51">
        <v>52.655999999999999</v>
      </c>
      <c r="AF1464" s="52">
        <f t="shared" si="266"/>
        <v>0.27855213504970161</v>
      </c>
    </row>
    <row r="1465" spans="30:32">
      <c r="AD1465" s="50">
        <v>534</v>
      </c>
      <c r="AE1465" s="51">
        <v>53.768000000000001</v>
      </c>
      <c r="AF1465" s="52">
        <f t="shared" si="266"/>
        <v>0.26947611760727708</v>
      </c>
    </row>
    <row r="1466" spans="30:32">
      <c r="AD1466" s="50">
        <v>533.9</v>
      </c>
      <c r="AE1466" s="51">
        <v>54.863999999999997</v>
      </c>
      <c r="AF1466" s="52">
        <f t="shared" si="266"/>
        <v>0.26071253222913104</v>
      </c>
    </row>
    <row r="1467" spans="30:32">
      <c r="AD1467" s="50">
        <v>533.79999999999995</v>
      </c>
      <c r="AE1467" s="51">
        <v>55.965000000000003</v>
      </c>
      <c r="AF1467" s="52">
        <f t="shared" si="266"/>
        <v>0.25208349190348966</v>
      </c>
    </row>
    <row r="1468" spans="30:32">
      <c r="AD1468" s="50">
        <v>533.70000000000005</v>
      </c>
      <c r="AE1468" s="51">
        <v>57.023000000000003</v>
      </c>
      <c r="AF1468" s="52">
        <f t="shared" si="266"/>
        <v>0.24394993804071996</v>
      </c>
    </row>
    <row r="1469" spans="30:32">
      <c r="AD1469" s="50">
        <v>533.6</v>
      </c>
      <c r="AE1469" s="51">
        <v>58.088000000000001</v>
      </c>
      <c r="AF1469" s="52">
        <f t="shared" si="266"/>
        <v>0.23591357625086054</v>
      </c>
    </row>
    <row r="1470" spans="30:32">
      <c r="AD1470" s="50">
        <v>533.5</v>
      </c>
      <c r="AE1470" s="51">
        <v>59.158000000000001</v>
      </c>
      <c r="AF1470" s="52">
        <f t="shared" si="266"/>
        <v>0.22798651695449215</v>
      </c>
    </row>
    <row r="1471" spans="30:32">
      <c r="AD1471" s="50">
        <v>533.4</v>
      </c>
      <c r="AE1471" s="51">
        <v>60.246000000000002</v>
      </c>
      <c r="AF1471" s="52">
        <f t="shared" si="266"/>
        <v>0.22007178253891679</v>
      </c>
    </row>
    <row r="1472" spans="30:32">
      <c r="AD1472" s="50">
        <v>533.29999999999995</v>
      </c>
      <c r="AE1472" s="51">
        <v>61.334000000000003</v>
      </c>
      <c r="AF1472" s="52">
        <f t="shared" si="266"/>
        <v>0.21229871114358659</v>
      </c>
    </row>
    <row r="1473" spans="30:32">
      <c r="AD1473" s="50">
        <v>533.20000000000005</v>
      </c>
      <c r="AE1473" s="51">
        <v>62.444000000000003</v>
      </c>
      <c r="AF1473" s="52">
        <f t="shared" si="266"/>
        <v>0.20450928494519222</v>
      </c>
    </row>
    <row r="1474" spans="30:32">
      <c r="AD1474" s="50">
        <v>533.1</v>
      </c>
      <c r="AE1474" s="51">
        <v>63.457000000000001</v>
      </c>
      <c r="AF1474" s="52">
        <f t="shared" si="266"/>
        <v>0.19752046350322167</v>
      </c>
    </row>
    <row r="1475" spans="30:32">
      <c r="AD1475" s="50">
        <v>533</v>
      </c>
      <c r="AE1475" s="51">
        <v>64.394999999999996</v>
      </c>
      <c r="AF1475" s="52">
        <f t="shared" si="266"/>
        <v>0.19114785246488003</v>
      </c>
    </row>
    <row r="1476" spans="30:32">
      <c r="AD1476" s="50">
        <v>532.9</v>
      </c>
      <c r="AE1476" s="51">
        <v>65.322999999999993</v>
      </c>
      <c r="AF1476" s="52">
        <f t="shared" si="266"/>
        <v>0.18493387822919402</v>
      </c>
    </row>
    <row r="1477" spans="30:32">
      <c r="AD1477" s="50">
        <v>532.79999999999995</v>
      </c>
      <c r="AE1477" s="51">
        <v>66.290999999999997</v>
      </c>
      <c r="AF1477" s="52">
        <f t="shared" ref="AF1477:AF1540" si="267">-LOG(AE1477/100)</f>
        <v>0.1785454295990602</v>
      </c>
    </row>
    <row r="1478" spans="30:32">
      <c r="AD1478" s="50">
        <v>532.70000000000005</v>
      </c>
      <c r="AE1478" s="51">
        <v>67.233999999999995</v>
      </c>
      <c r="AF1478" s="52">
        <f t="shared" si="267"/>
        <v>0.17241105018732591</v>
      </c>
    </row>
    <row r="1479" spans="30:32">
      <c r="AD1479" s="50">
        <v>532.6</v>
      </c>
      <c r="AE1479" s="51">
        <v>68.156999999999996</v>
      </c>
      <c r="AF1479" s="52">
        <f t="shared" si="267"/>
        <v>0.16648953373606232</v>
      </c>
    </row>
    <row r="1480" spans="30:32">
      <c r="AD1480" s="50">
        <v>532.5</v>
      </c>
      <c r="AE1480" s="51">
        <v>69.015000000000001</v>
      </c>
      <c r="AF1480" s="52">
        <f t="shared" si="267"/>
        <v>0.16105650767952256</v>
      </c>
    </row>
    <row r="1481" spans="30:32">
      <c r="AD1481" s="50">
        <v>532.4</v>
      </c>
      <c r="AE1481" s="51">
        <v>69.823999999999998</v>
      </c>
      <c r="AF1481" s="52">
        <f t="shared" si="267"/>
        <v>0.15599527542777097</v>
      </c>
    </row>
    <row r="1482" spans="30:32">
      <c r="AD1482" s="50">
        <v>532.29999999999995</v>
      </c>
      <c r="AE1482" s="51">
        <v>70.638000000000005</v>
      </c>
      <c r="AF1482" s="52">
        <f t="shared" si="267"/>
        <v>0.15096160559781557</v>
      </c>
    </row>
    <row r="1483" spans="30:32">
      <c r="AD1483" s="50">
        <v>532.20000000000005</v>
      </c>
      <c r="AE1483" s="51">
        <v>71.415999999999997</v>
      </c>
      <c r="AF1483" s="52">
        <f t="shared" si="267"/>
        <v>0.14620447823419525</v>
      </c>
    </row>
    <row r="1484" spans="30:32">
      <c r="AD1484" s="50">
        <v>532.1</v>
      </c>
      <c r="AE1484" s="51">
        <v>72.150999999999996</v>
      </c>
      <c r="AF1484" s="52">
        <f t="shared" si="267"/>
        <v>0.14175764528466209</v>
      </c>
    </row>
    <row r="1485" spans="30:32">
      <c r="AD1485" s="50">
        <v>532</v>
      </c>
      <c r="AE1485" s="51">
        <v>72.846000000000004</v>
      </c>
      <c r="AF1485" s="52">
        <f t="shared" si="267"/>
        <v>0.13759429050512725</v>
      </c>
    </row>
    <row r="1486" spans="30:32">
      <c r="AD1486" s="50">
        <v>531.9</v>
      </c>
      <c r="AE1486" s="51">
        <v>73.578000000000003</v>
      </c>
      <c r="AF1486" s="52">
        <f t="shared" si="267"/>
        <v>0.13325202135361033</v>
      </c>
    </row>
    <row r="1487" spans="30:32">
      <c r="AD1487" s="50">
        <v>531.79999999999995</v>
      </c>
      <c r="AE1487" s="51">
        <v>74.284999999999997</v>
      </c>
      <c r="AF1487" s="52">
        <f t="shared" si="267"/>
        <v>0.12909887230801412</v>
      </c>
    </row>
    <row r="1488" spans="30:32">
      <c r="AD1488" s="50">
        <v>531.70000000000005</v>
      </c>
      <c r="AE1488" s="51">
        <v>74.875</v>
      </c>
      <c r="AF1488" s="52">
        <f t="shared" si="267"/>
        <v>0.12566316460263219</v>
      </c>
    </row>
    <row r="1489" spans="30:32">
      <c r="AD1489" s="50">
        <v>531.6</v>
      </c>
      <c r="AE1489" s="51">
        <v>75.430999999999997</v>
      </c>
      <c r="AF1489" s="52">
        <f t="shared" si="267"/>
        <v>0.12245013473927095</v>
      </c>
    </row>
    <row r="1490" spans="30:32">
      <c r="AD1490" s="50">
        <v>531.5</v>
      </c>
      <c r="AE1490" s="51">
        <v>75.965000000000003</v>
      </c>
      <c r="AF1490" s="52">
        <f t="shared" si="267"/>
        <v>0.11938645782463268</v>
      </c>
    </row>
    <row r="1491" spans="30:32">
      <c r="AD1491" s="50">
        <v>531.4</v>
      </c>
      <c r="AE1491" s="51">
        <v>76.495000000000005</v>
      </c>
      <c r="AF1491" s="52">
        <f t="shared" si="267"/>
        <v>0.11636695103430079</v>
      </c>
    </row>
    <row r="1492" spans="30:32">
      <c r="AD1492" s="50">
        <v>531.29999999999995</v>
      </c>
      <c r="AE1492" s="51">
        <v>77.113</v>
      </c>
      <c r="AF1492" s="52">
        <f t="shared" si="267"/>
        <v>0.11287240077731152</v>
      </c>
    </row>
    <row r="1493" spans="30:32">
      <c r="AD1493" s="50">
        <v>531.20000000000005</v>
      </c>
      <c r="AE1493" s="51">
        <v>77.603999999999999</v>
      </c>
      <c r="AF1493" s="52">
        <f t="shared" si="267"/>
        <v>0.11011589300525844</v>
      </c>
    </row>
    <row r="1494" spans="30:32">
      <c r="AD1494" s="50">
        <v>531.1</v>
      </c>
      <c r="AE1494" s="51">
        <v>78.006</v>
      </c>
      <c r="AF1494" s="52">
        <f t="shared" si="267"/>
        <v>0.10787199132650993</v>
      </c>
    </row>
    <row r="1495" spans="30:32">
      <c r="AD1495" s="50">
        <v>531</v>
      </c>
      <c r="AE1495" s="51">
        <v>78.427999999999997</v>
      </c>
      <c r="AF1495" s="52">
        <f t="shared" si="267"/>
        <v>0.10552885983421259</v>
      </c>
    </row>
    <row r="1496" spans="30:32">
      <c r="AD1496" s="50">
        <v>530.9</v>
      </c>
      <c r="AE1496" s="51">
        <v>78.891999999999996</v>
      </c>
      <c r="AF1496" s="52">
        <f t="shared" si="267"/>
        <v>0.10296703395162975</v>
      </c>
    </row>
    <row r="1497" spans="30:32">
      <c r="AD1497" s="50">
        <v>530.79999999999995</v>
      </c>
      <c r="AE1497" s="51">
        <v>79.266999999999996</v>
      </c>
      <c r="AF1497" s="52">
        <f t="shared" si="267"/>
        <v>0.10090757813939187</v>
      </c>
    </row>
    <row r="1498" spans="30:32">
      <c r="AD1498" s="50">
        <v>530.70000000000005</v>
      </c>
      <c r="AE1498" s="51">
        <v>79.676000000000002</v>
      </c>
      <c r="AF1498" s="52">
        <f t="shared" si="267"/>
        <v>9.8672477063435682E-2</v>
      </c>
    </row>
    <row r="1499" spans="30:32">
      <c r="AD1499" s="50">
        <v>530.6</v>
      </c>
      <c r="AE1499" s="51">
        <v>80.055999999999997</v>
      </c>
      <c r="AF1499" s="52">
        <f t="shared" si="267"/>
        <v>9.6606113223243958E-2</v>
      </c>
    </row>
    <row r="1500" spans="30:32">
      <c r="AD1500" s="50">
        <v>530.5</v>
      </c>
      <c r="AE1500" s="51">
        <v>80.42</v>
      </c>
      <c r="AF1500" s="52">
        <f t="shared" si="267"/>
        <v>9.4635931233107692E-2</v>
      </c>
    </row>
    <row r="1501" spans="30:32">
      <c r="AD1501" s="50">
        <v>530.4</v>
      </c>
      <c r="AE1501" s="51">
        <v>80.733999999999995</v>
      </c>
      <c r="AF1501" s="52">
        <f t="shared" si="267"/>
        <v>9.2943529680681952E-2</v>
      </c>
    </row>
    <row r="1502" spans="30:32">
      <c r="AD1502" s="50">
        <v>530.29999999999995</v>
      </c>
      <c r="AE1502" s="51">
        <v>80.971999999999994</v>
      </c>
      <c r="AF1502" s="52">
        <f t="shared" si="267"/>
        <v>9.1665133562691015E-2</v>
      </c>
    </row>
    <row r="1503" spans="30:32">
      <c r="AD1503" s="50">
        <v>530.20000000000005</v>
      </c>
      <c r="AE1503" s="51">
        <v>81.307000000000002</v>
      </c>
      <c r="AF1503" s="52">
        <f t="shared" si="267"/>
        <v>8.9872062886806534E-2</v>
      </c>
    </row>
    <row r="1504" spans="30:32">
      <c r="AD1504" s="50">
        <v>530.1</v>
      </c>
      <c r="AE1504" s="51">
        <v>81.585999999999999</v>
      </c>
      <c r="AF1504" s="52">
        <f t="shared" si="267"/>
        <v>8.8384358946941147E-2</v>
      </c>
    </row>
    <row r="1505" spans="30:32">
      <c r="AD1505" s="50">
        <v>530</v>
      </c>
      <c r="AE1505" s="51">
        <v>81.888000000000005</v>
      </c>
      <c r="AF1505" s="52">
        <f t="shared" si="267"/>
        <v>8.6779735792908527E-2</v>
      </c>
    </row>
    <row r="1506" spans="30:32">
      <c r="AD1506" s="50">
        <v>529.9</v>
      </c>
      <c r="AE1506" s="51">
        <v>82.185000000000002</v>
      </c>
      <c r="AF1506" s="52">
        <f t="shared" si="267"/>
        <v>8.5207440509609003E-2</v>
      </c>
    </row>
    <row r="1507" spans="30:32">
      <c r="AD1507" s="50">
        <v>529.79999999999995</v>
      </c>
      <c r="AE1507" s="51">
        <v>82.453999999999994</v>
      </c>
      <c r="AF1507" s="52">
        <f t="shared" si="267"/>
        <v>8.3788271059001163E-2</v>
      </c>
    </row>
    <row r="1508" spans="30:32">
      <c r="AD1508" s="50">
        <v>529.70000000000005</v>
      </c>
      <c r="AE1508" s="51">
        <v>82.667000000000002</v>
      </c>
      <c r="AF1508" s="52">
        <f t="shared" si="267"/>
        <v>8.266782270954974E-2</v>
      </c>
    </row>
    <row r="1509" spans="30:32">
      <c r="AD1509" s="50">
        <v>529.6</v>
      </c>
      <c r="AE1509" s="51">
        <v>82.873999999999995</v>
      </c>
      <c r="AF1509" s="52">
        <f t="shared" si="267"/>
        <v>8.1581698974526176E-2</v>
      </c>
    </row>
    <row r="1510" spans="30:32">
      <c r="AD1510" s="50">
        <v>529.5</v>
      </c>
      <c r="AE1510" s="51">
        <v>83.082999999999998</v>
      </c>
      <c r="AF1510" s="52">
        <f t="shared" si="267"/>
        <v>8.0487830144607475E-2</v>
      </c>
    </row>
    <row r="1511" spans="30:32">
      <c r="AD1511" s="50">
        <v>529.4</v>
      </c>
      <c r="AE1511" s="51">
        <v>83.272000000000006</v>
      </c>
      <c r="AF1511" s="52">
        <f t="shared" si="267"/>
        <v>7.9501004471845368E-2</v>
      </c>
    </row>
    <row r="1512" spans="30:32">
      <c r="AD1512" s="50">
        <v>529.29999999999995</v>
      </c>
      <c r="AE1512" s="51">
        <v>83.507999999999996</v>
      </c>
      <c r="AF1512" s="52">
        <f t="shared" si="267"/>
        <v>7.8271917457360257E-2</v>
      </c>
    </row>
    <row r="1513" spans="30:32">
      <c r="AD1513" s="50">
        <v>529.20000000000005</v>
      </c>
      <c r="AE1513" s="51">
        <v>83.718000000000004</v>
      </c>
      <c r="AF1513" s="52">
        <f t="shared" si="267"/>
        <v>7.7181155385177433E-2</v>
      </c>
    </row>
    <row r="1514" spans="30:32">
      <c r="AD1514" s="50">
        <v>529.1</v>
      </c>
      <c r="AE1514" s="51">
        <v>83.885000000000005</v>
      </c>
      <c r="AF1514" s="52">
        <f t="shared" si="267"/>
        <v>7.6315691133583594E-2</v>
      </c>
    </row>
    <row r="1515" spans="30:32">
      <c r="AD1515" s="50">
        <v>529</v>
      </c>
      <c r="AE1515" s="51">
        <v>84.081000000000003</v>
      </c>
      <c r="AF1515" s="52">
        <f t="shared" si="267"/>
        <v>7.5302131757415292E-2</v>
      </c>
    </row>
    <row r="1516" spans="30:32">
      <c r="AD1516" s="50">
        <v>528.9</v>
      </c>
      <c r="AE1516" s="51">
        <v>84.215000000000003</v>
      </c>
      <c r="AF1516" s="52">
        <f t="shared" si="267"/>
        <v>7.4610547015378531E-2</v>
      </c>
    </row>
    <row r="1517" spans="30:32">
      <c r="AD1517" s="50">
        <v>528.79999999999995</v>
      </c>
      <c r="AE1517" s="51">
        <v>84.396000000000001</v>
      </c>
      <c r="AF1517" s="52">
        <f t="shared" si="267"/>
        <v>7.3678136538968944E-2</v>
      </c>
    </row>
    <row r="1518" spans="30:32">
      <c r="AD1518" s="50">
        <v>528.70000000000005</v>
      </c>
      <c r="AE1518" s="51">
        <v>84.563000000000002</v>
      </c>
      <c r="AF1518" s="52">
        <f t="shared" si="267"/>
        <v>7.2819618175387027E-2</v>
      </c>
    </row>
    <row r="1519" spans="30:32">
      <c r="AD1519" s="50">
        <v>528.6</v>
      </c>
      <c r="AE1519" s="51">
        <v>84.790999999999997</v>
      </c>
      <c r="AF1519" s="52">
        <f t="shared" si="267"/>
        <v>7.1650242764139893E-2</v>
      </c>
    </row>
    <row r="1520" spans="30:32">
      <c r="AD1520" s="50">
        <v>528.5</v>
      </c>
      <c r="AE1520" s="51">
        <v>84.933000000000007</v>
      </c>
      <c r="AF1520" s="52">
        <f t="shared" si="267"/>
        <v>7.0923535512135052E-2</v>
      </c>
    </row>
    <row r="1521" spans="30:32">
      <c r="AD1521" s="50">
        <v>528.4</v>
      </c>
      <c r="AE1521" s="51">
        <v>85.052000000000007</v>
      </c>
      <c r="AF1521" s="52">
        <f t="shared" si="267"/>
        <v>7.0315469485259532E-2</v>
      </c>
    </row>
    <row r="1522" spans="30:32">
      <c r="AD1522" s="50">
        <v>528.29999999999995</v>
      </c>
      <c r="AE1522" s="51">
        <v>85.141000000000005</v>
      </c>
      <c r="AF1522" s="52">
        <f t="shared" si="267"/>
        <v>6.9861253243549373E-2</v>
      </c>
    </row>
    <row r="1523" spans="30:32">
      <c r="AD1523" s="50">
        <v>528.20000000000005</v>
      </c>
      <c r="AE1523" s="51">
        <v>85.257000000000005</v>
      </c>
      <c r="AF1523" s="52">
        <f t="shared" si="267"/>
        <v>6.926995325548517E-2</v>
      </c>
    </row>
    <row r="1524" spans="30:32">
      <c r="AD1524" s="50">
        <v>528.1</v>
      </c>
      <c r="AE1524" s="51">
        <v>85.36</v>
      </c>
      <c r="AF1524" s="52">
        <f t="shared" si="267"/>
        <v>6.8745593583586506E-2</v>
      </c>
    </row>
    <row r="1525" spans="30:32">
      <c r="AD1525" s="50">
        <v>528</v>
      </c>
      <c r="AE1525" s="51">
        <v>85.507000000000005</v>
      </c>
      <c r="AF1525" s="52">
        <f t="shared" si="267"/>
        <v>6.7998330453895695E-2</v>
      </c>
    </row>
    <row r="1526" spans="30:32">
      <c r="AD1526" s="50">
        <v>527.9</v>
      </c>
      <c r="AE1526" s="51">
        <v>85.665999999999997</v>
      </c>
      <c r="AF1526" s="52">
        <f t="shared" si="267"/>
        <v>6.7191511125113235E-2</v>
      </c>
    </row>
    <row r="1527" spans="30:32">
      <c r="AD1527" s="50">
        <v>527.79999999999995</v>
      </c>
      <c r="AE1527" s="51">
        <v>85.784000000000006</v>
      </c>
      <c r="AF1527" s="52">
        <f t="shared" si="267"/>
        <v>6.6593707019470968E-2</v>
      </c>
    </row>
    <row r="1528" spans="30:32">
      <c r="AD1528" s="50">
        <v>527.70000000000005</v>
      </c>
      <c r="AE1528" s="51">
        <v>85.870999999999995</v>
      </c>
      <c r="AF1528" s="52">
        <f t="shared" si="267"/>
        <v>6.6153479549710917E-2</v>
      </c>
    </row>
    <row r="1529" spans="30:32">
      <c r="AD1529" s="50">
        <v>527.6</v>
      </c>
      <c r="AE1529" s="51">
        <v>85.971999999999994</v>
      </c>
      <c r="AF1529" s="52">
        <f t="shared" si="267"/>
        <v>6.5642969983152305E-2</v>
      </c>
    </row>
    <row r="1530" spans="30:32">
      <c r="AD1530" s="50">
        <v>527.5</v>
      </c>
      <c r="AE1530" s="51">
        <v>86.058000000000007</v>
      </c>
      <c r="AF1530" s="52">
        <f t="shared" si="267"/>
        <v>6.5208751200904469E-2</v>
      </c>
    </row>
    <row r="1531" spans="30:32">
      <c r="AD1531" s="50">
        <v>527.4</v>
      </c>
      <c r="AE1531" s="51">
        <v>86.174999999999997</v>
      </c>
      <c r="AF1531" s="52">
        <f t="shared" si="267"/>
        <v>6.461870792001477E-2</v>
      </c>
    </row>
    <row r="1532" spans="30:32">
      <c r="AD1532" s="50">
        <v>527.29999999999995</v>
      </c>
      <c r="AE1532" s="51">
        <v>86.305000000000007</v>
      </c>
      <c r="AF1532" s="52">
        <f t="shared" si="267"/>
        <v>6.396404310857734E-2</v>
      </c>
    </row>
    <row r="1533" spans="30:32">
      <c r="AD1533" s="50">
        <v>527.20000000000005</v>
      </c>
      <c r="AE1533" s="51">
        <v>86.406000000000006</v>
      </c>
      <c r="AF1533" s="52">
        <f t="shared" si="267"/>
        <v>6.3456099229236423E-2</v>
      </c>
    </row>
    <row r="1534" spans="30:32">
      <c r="AD1534" s="50">
        <v>527.1</v>
      </c>
      <c r="AE1534" s="51">
        <v>86.488</v>
      </c>
      <c r="AF1534" s="52">
        <f t="shared" si="267"/>
        <v>6.3044145660156287E-2</v>
      </c>
    </row>
    <row r="1535" spans="30:32">
      <c r="AD1535" s="50">
        <v>527</v>
      </c>
      <c r="AE1535" s="51">
        <v>86.534000000000006</v>
      </c>
      <c r="AF1535" s="52">
        <f t="shared" si="267"/>
        <v>6.2813220729936503E-2</v>
      </c>
    </row>
    <row r="1536" spans="30:32">
      <c r="AD1536" s="50">
        <v>526.9</v>
      </c>
      <c r="AE1536" s="51">
        <v>86.596000000000004</v>
      </c>
      <c r="AF1536" s="52">
        <f t="shared" si="267"/>
        <v>6.2502168237254158E-2</v>
      </c>
    </row>
    <row r="1537" spans="30:32">
      <c r="AD1537" s="50">
        <v>526.79999999999995</v>
      </c>
      <c r="AE1537" s="51">
        <v>86.695999999999998</v>
      </c>
      <c r="AF1537" s="52">
        <f t="shared" si="267"/>
        <v>6.2000939640308235E-2</v>
      </c>
    </row>
    <row r="1538" spans="30:32">
      <c r="AD1538" s="50">
        <v>526.70000000000005</v>
      </c>
      <c r="AE1538" s="51">
        <v>86.789000000000001</v>
      </c>
      <c r="AF1538" s="52">
        <f t="shared" si="267"/>
        <v>6.1535315630325674E-2</v>
      </c>
    </row>
    <row r="1539" spans="30:32">
      <c r="AD1539" s="50">
        <v>526.6</v>
      </c>
      <c r="AE1539" s="51">
        <v>86.91</v>
      </c>
      <c r="AF1539" s="52">
        <f t="shared" si="267"/>
        <v>6.0930250076575765E-2</v>
      </c>
    </row>
    <row r="1540" spans="30:32">
      <c r="AD1540" s="50">
        <v>526.5</v>
      </c>
      <c r="AE1540" s="51">
        <v>86.977999999999994</v>
      </c>
      <c r="AF1540" s="52">
        <f t="shared" si="267"/>
        <v>6.0590582862336519E-2</v>
      </c>
    </row>
    <row r="1541" spans="30:32">
      <c r="AD1541" s="50">
        <v>526.4</v>
      </c>
      <c r="AE1541" s="51">
        <v>87.043999999999997</v>
      </c>
      <c r="AF1541" s="52">
        <f t="shared" ref="AF1541:AF1604" si="268">-LOG(AE1541/100)</f>
        <v>6.0261159718367013E-2</v>
      </c>
    </row>
    <row r="1542" spans="30:32">
      <c r="AD1542" s="50">
        <v>526.29999999999995</v>
      </c>
      <c r="AE1542" s="51">
        <v>87.11</v>
      </c>
      <c r="AF1542" s="52">
        <f t="shared" si="268"/>
        <v>5.9931986260647434E-2</v>
      </c>
    </row>
    <row r="1543" spans="30:32">
      <c r="AD1543" s="50">
        <v>526.20000000000005</v>
      </c>
      <c r="AE1543" s="51">
        <v>87.183000000000007</v>
      </c>
      <c r="AF1543" s="52">
        <f t="shared" si="268"/>
        <v>5.9568190823851001E-2</v>
      </c>
    </row>
    <row r="1544" spans="30:32">
      <c r="AD1544" s="50">
        <v>526.1</v>
      </c>
      <c r="AE1544" s="51">
        <v>87.248000000000005</v>
      </c>
      <c r="AF1544" s="52">
        <f t="shared" si="268"/>
        <v>5.9244519657253913E-2</v>
      </c>
    </row>
    <row r="1545" spans="30:32">
      <c r="AD1545" s="50">
        <v>526</v>
      </c>
      <c r="AE1545" s="51">
        <v>87.325999999999993</v>
      </c>
      <c r="AF1545" s="52">
        <f t="shared" si="268"/>
        <v>5.8856432406659616E-2</v>
      </c>
    </row>
    <row r="1546" spans="30:32">
      <c r="AD1546" s="50">
        <v>525.9</v>
      </c>
      <c r="AE1546" s="51">
        <v>87.376000000000005</v>
      </c>
      <c r="AF1546" s="52">
        <f t="shared" si="268"/>
        <v>5.8607840808531785E-2</v>
      </c>
    </row>
    <row r="1547" spans="30:32">
      <c r="AD1547" s="50">
        <v>525.79999999999995</v>
      </c>
      <c r="AE1547" s="51">
        <v>87.447000000000003</v>
      </c>
      <c r="AF1547" s="52">
        <f t="shared" si="268"/>
        <v>5.825508505087508E-2</v>
      </c>
    </row>
    <row r="1548" spans="30:32">
      <c r="AD1548" s="50">
        <v>525.70000000000005</v>
      </c>
      <c r="AE1548" s="51">
        <v>87.537000000000006</v>
      </c>
      <c r="AF1548" s="52">
        <f t="shared" si="268"/>
        <v>5.7808341270667543E-2</v>
      </c>
    </row>
    <row r="1549" spans="30:32">
      <c r="AD1549" s="50">
        <v>525.6</v>
      </c>
      <c r="AE1549" s="51">
        <v>87.5</v>
      </c>
      <c r="AF1549" s="52">
        <f t="shared" si="268"/>
        <v>5.7991946977686754E-2</v>
      </c>
    </row>
    <row r="1550" spans="30:32">
      <c r="AD1550" s="50">
        <v>525.5</v>
      </c>
      <c r="AE1550" s="51">
        <v>87.613</v>
      </c>
      <c r="AF1550" s="52">
        <f t="shared" si="268"/>
        <v>5.74314485193557E-2</v>
      </c>
    </row>
    <row r="1551" spans="30:32">
      <c r="AD1551" s="50">
        <v>525.4</v>
      </c>
      <c r="AE1551" s="51">
        <v>87.671999999999997</v>
      </c>
      <c r="AF1551" s="52">
        <f t="shared" si="268"/>
        <v>5.7139086076477344E-2</v>
      </c>
    </row>
    <row r="1552" spans="30:32">
      <c r="AD1552" s="50">
        <v>525.29999999999995</v>
      </c>
      <c r="AE1552" s="51">
        <v>87.768000000000001</v>
      </c>
      <c r="AF1552" s="52">
        <f t="shared" si="268"/>
        <v>5.6663797950349606E-2</v>
      </c>
    </row>
    <row r="1553" spans="30:32">
      <c r="AD1553" s="50">
        <v>525.20000000000005</v>
      </c>
      <c r="AE1553" s="51">
        <v>87.873999999999995</v>
      </c>
      <c r="AF1553" s="52">
        <f t="shared" si="268"/>
        <v>5.613960418495622E-2</v>
      </c>
    </row>
    <row r="1554" spans="30:32">
      <c r="AD1554" s="50">
        <v>525.1</v>
      </c>
      <c r="AE1554" s="51">
        <v>87.885000000000005</v>
      </c>
      <c r="AF1554" s="52">
        <f t="shared" si="268"/>
        <v>5.6085242936801928E-2</v>
      </c>
    </row>
    <row r="1555" spans="30:32">
      <c r="AD1555" s="50">
        <v>525</v>
      </c>
      <c r="AE1555" s="51">
        <v>87.918999999999997</v>
      </c>
      <c r="AF1555" s="52">
        <f t="shared" si="268"/>
        <v>5.5917260267820547E-2</v>
      </c>
    </row>
    <row r="1556" spans="30:32">
      <c r="AD1556" s="50">
        <v>524.9</v>
      </c>
      <c r="AE1556" s="51">
        <v>87.936000000000007</v>
      </c>
      <c r="AF1556" s="52">
        <f t="shared" si="268"/>
        <v>5.5833293292581188E-2</v>
      </c>
    </row>
    <row r="1557" spans="30:32">
      <c r="AD1557" s="50">
        <v>524.79999999999995</v>
      </c>
      <c r="AE1557" s="51">
        <v>87.99</v>
      </c>
      <c r="AF1557" s="52">
        <f t="shared" si="268"/>
        <v>5.5566682299785466E-2</v>
      </c>
    </row>
    <row r="1558" spans="30:32">
      <c r="AD1558" s="50">
        <v>524.70000000000005</v>
      </c>
      <c r="AE1558" s="51">
        <v>88.004000000000005</v>
      </c>
      <c r="AF1558" s="52">
        <f t="shared" si="268"/>
        <v>5.5497587640200755E-2</v>
      </c>
    </row>
    <row r="1559" spans="30:32">
      <c r="AD1559" s="50">
        <v>524.6</v>
      </c>
      <c r="AE1559" s="51">
        <v>88.087000000000003</v>
      </c>
      <c r="AF1559" s="52">
        <f t="shared" si="268"/>
        <v>5.5088180632830386E-2</v>
      </c>
    </row>
    <row r="1560" spans="30:32">
      <c r="AD1560" s="50">
        <v>524.5</v>
      </c>
      <c r="AE1560" s="51">
        <v>88.174000000000007</v>
      </c>
      <c r="AF1560" s="52">
        <f t="shared" si="268"/>
        <v>5.4659457058200044E-2</v>
      </c>
    </row>
    <row r="1561" spans="30:32">
      <c r="AD1561" s="50">
        <v>524.4</v>
      </c>
      <c r="AE1561" s="51">
        <v>88.177999999999997</v>
      </c>
      <c r="AF1561" s="52">
        <f t="shared" si="268"/>
        <v>5.4639755802439884E-2</v>
      </c>
    </row>
    <row r="1562" spans="30:32">
      <c r="AD1562" s="50">
        <v>524.29999999999995</v>
      </c>
      <c r="AE1562" s="51">
        <v>88.210999999999999</v>
      </c>
      <c r="AF1562" s="52">
        <f t="shared" si="268"/>
        <v>5.4477254534560197E-2</v>
      </c>
    </row>
    <row r="1563" spans="30:32">
      <c r="AD1563" s="50">
        <v>524.20000000000005</v>
      </c>
      <c r="AE1563" s="51">
        <v>88.245999999999995</v>
      </c>
      <c r="AF1563" s="52">
        <f t="shared" si="268"/>
        <v>5.4304971121990002E-2</v>
      </c>
    </row>
    <row r="1564" spans="30:32">
      <c r="AD1564" s="50">
        <v>524.1</v>
      </c>
      <c r="AE1564" s="51">
        <v>88.355000000000004</v>
      </c>
      <c r="AF1564" s="52">
        <f t="shared" si="268"/>
        <v>5.3768868783514071E-2</v>
      </c>
    </row>
    <row r="1565" spans="30:32">
      <c r="AD1565" s="50">
        <v>524</v>
      </c>
      <c r="AE1565" s="51">
        <v>88.379000000000005</v>
      </c>
      <c r="AF1565" s="52">
        <f t="shared" si="268"/>
        <v>5.3650916746783739E-2</v>
      </c>
    </row>
    <row r="1566" spans="30:32">
      <c r="AD1566" s="50">
        <v>523.9</v>
      </c>
      <c r="AE1566" s="51">
        <v>88.457999999999998</v>
      </c>
      <c r="AF1566" s="52">
        <f t="shared" si="268"/>
        <v>5.3262884079946053E-2</v>
      </c>
    </row>
    <row r="1567" spans="30:32">
      <c r="AD1567" s="50">
        <v>523.79999999999995</v>
      </c>
      <c r="AE1567" s="51">
        <v>88.462000000000003</v>
      </c>
      <c r="AF1567" s="52">
        <f t="shared" si="268"/>
        <v>5.3243246074882622E-2</v>
      </c>
    </row>
    <row r="1568" spans="30:32">
      <c r="AD1568" s="50">
        <v>523.70000000000005</v>
      </c>
      <c r="AE1568" s="51">
        <v>88.436999999999998</v>
      </c>
      <c r="AF1568" s="52">
        <f t="shared" si="268"/>
        <v>5.3365998177719469E-2</v>
      </c>
    </row>
    <row r="1569" spans="30:32">
      <c r="AD1569" s="50">
        <v>523.6</v>
      </c>
      <c r="AE1569" s="51">
        <v>88.468000000000004</v>
      </c>
      <c r="AF1569" s="52">
        <f t="shared" si="268"/>
        <v>5.3213790732177413E-2</v>
      </c>
    </row>
    <row r="1570" spans="30:32">
      <c r="AD1570" s="50">
        <v>523.5</v>
      </c>
      <c r="AE1570" s="51">
        <v>88.516999999999996</v>
      </c>
      <c r="AF1570" s="52">
        <f t="shared" si="268"/>
        <v>5.2973313514820208E-2</v>
      </c>
    </row>
    <row r="1571" spans="30:32">
      <c r="AD1571" s="50">
        <v>523.4</v>
      </c>
      <c r="AE1571" s="51">
        <v>88.578999999999994</v>
      </c>
      <c r="AF1571" s="52">
        <f t="shared" si="268"/>
        <v>5.2669226929261299E-2</v>
      </c>
    </row>
    <row r="1572" spans="30:32">
      <c r="AD1572" s="50">
        <v>523.29999999999995</v>
      </c>
      <c r="AE1572" s="51">
        <v>88.631</v>
      </c>
      <c r="AF1572" s="52">
        <f t="shared" si="268"/>
        <v>5.2414350638903484E-2</v>
      </c>
    </row>
    <row r="1573" spans="30:32">
      <c r="AD1573" s="50">
        <v>523.20000000000005</v>
      </c>
      <c r="AE1573" s="51">
        <v>88.668999999999997</v>
      </c>
      <c r="AF1573" s="52">
        <f t="shared" si="268"/>
        <v>5.2228189436816452E-2</v>
      </c>
    </row>
    <row r="1574" spans="30:32">
      <c r="AD1574" s="50">
        <v>523.1</v>
      </c>
      <c r="AE1574" s="51">
        <v>88.671999999999997</v>
      </c>
      <c r="AF1574" s="52">
        <f t="shared" si="268"/>
        <v>5.2213495897862311E-2</v>
      </c>
    </row>
    <row r="1575" spans="30:32">
      <c r="AD1575" s="50">
        <v>523</v>
      </c>
      <c r="AE1575" s="51">
        <v>88.697000000000003</v>
      </c>
      <c r="AF1575" s="52">
        <f t="shared" si="268"/>
        <v>5.20910690688281E-2</v>
      </c>
    </row>
    <row r="1576" spans="30:32">
      <c r="AD1576" s="50">
        <v>522.9</v>
      </c>
      <c r="AE1576" s="51">
        <v>88.704999999999998</v>
      </c>
      <c r="AF1576" s="52">
        <f t="shared" si="268"/>
        <v>5.2051899771327736E-2</v>
      </c>
    </row>
    <row r="1577" spans="30:32">
      <c r="AD1577" s="50">
        <v>522.79999999999995</v>
      </c>
      <c r="AE1577" s="51">
        <v>88.736000000000004</v>
      </c>
      <c r="AF1577" s="52">
        <f t="shared" si="268"/>
        <v>5.1900152102232353E-2</v>
      </c>
    </row>
    <row r="1578" spans="30:32">
      <c r="AD1578" s="50">
        <v>522.70000000000005</v>
      </c>
      <c r="AE1578" s="51">
        <v>88.796999999999997</v>
      </c>
      <c r="AF1578" s="52">
        <f t="shared" si="268"/>
        <v>5.1601706580119422E-2</v>
      </c>
    </row>
    <row r="1579" spans="30:32">
      <c r="AD1579" s="50">
        <v>522.6</v>
      </c>
      <c r="AE1579" s="51">
        <v>88.805000000000007</v>
      </c>
      <c r="AF1579" s="52">
        <f t="shared" si="268"/>
        <v>5.1562581391691537E-2</v>
      </c>
    </row>
    <row r="1580" spans="30:32">
      <c r="AD1580" s="50">
        <v>522.5</v>
      </c>
      <c r="AE1580" s="51">
        <v>88.81</v>
      </c>
      <c r="AF1580" s="52">
        <f t="shared" si="268"/>
        <v>5.1538129938716454E-2</v>
      </c>
    </row>
    <row r="1581" spans="30:32">
      <c r="AD1581" s="50">
        <v>522.4</v>
      </c>
      <c r="AE1581" s="51">
        <v>88.853999999999999</v>
      </c>
      <c r="AF1581" s="52">
        <f t="shared" si="268"/>
        <v>5.1323016493174042E-2</v>
      </c>
    </row>
    <row r="1582" spans="30:32">
      <c r="AD1582" s="50">
        <v>522.29999999999995</v>
      </c>
      <c r="AE1582" s="51">
        <v>88.837999999999994</v>
      </c>
      <c r="AF1582" s="52">
        <f t="shared" si="268"/>
        <v>5.1401227236811724E-2</v>
      </c>
    </row>
    <row r="1583" spans="30:32">
      <c r="AD1583" s="50">
        <v>522.20000000000005</v>
      </c>
      <c r="AE1583" s="51">
        <v>88.844999999999999</v>
      </c>
      <c r="AF1583" s="52">
        <f t="shared" si="268"/>
        <v>5.1367008303375254E-2</v>
      </c>
    </row>
    <row r="1584" spans="30:32">
      <c r="AD1584" s="50">
        <v>522.1</v>
      </c>
      <c r="AE1584" s="51">
        <v>88.959000000000003</v>
      </c>
      <c r="AF1584" s="52">
        <f t="shared" si="268"/>
        <v>5.0810107696852229E-2</v>
      </c>
    </row>
    <row r="1585" spans="30:32">
      <c r="AD1585" s="50">
        <v>522</v>
      </c>
      <c r="AE1585" s="51">
        <v>88.960999999999999</v>
      </c>
      <c r="AF1585" s="52">
        <f t="shared" si="268"/>
        <v>5.0800343882060818E-2</v>
      </c>
    </row>
    <row r="1586" spans="30:32">
      <c r="AD1586" s="50">
        <v>521.9</v>
      </c>
      <c r="AE1586" s="51">
        <v>88.983999999999995</v>
      </c>
      <c r="AF1586" s="52">
        <f t="shared" si="268"/>
        <v>5.0688075786420053E-2</v>
      </c>
    </row>
    <row r="1587" spans="30:32">
      <c r="AD1587" s="50">
        <v>521.79999999999995</v>
      </c>
      <c r="AE1587" s="51">
        <v>88.977999999999994</v>
      </c>
      <c r="AF1587" s="52">
        <f t="shared" si="268"/>
        <v>5.0717360317863946E-2</v>
      </c>
    </row>
    <row r="1588" spans="30:32">
      <c r="AD1588" s="50">
        <v>521.70000000000005</v>
      </c>
      <c r="AE1588" s="51">
        <v>88.974999999999994</v>
      </c>
      <c r="AF1588" s="52">
        <f t="shared" si="268"/>
        <v>5.0732003324116523E-2</v>
      </c>
    </row>
    <row r="1589" spans="30:32">
      <c r="AD1589" s="50">
        <v>521.6</v>
      </c>
      <c r="AE1589" s="51">
        <v>88.992999999999995</v>
      </c>
      <c r="AF1589" s="52">
        <f t="shared" si="268"/>
        <v>5.0644152691408192E-2</v>
      </c>
    </row>
    <row r="1590" spans="30:32">
      <c r="AD1590" s="50">
        <v>521.5</v>
      </c>
      <c r="AE1590" s="51">
        <v>88.966999999999999</v>
      </c>
      <c r="AF1590" s="52">
        <f t="shared" si="268"/>
        <v>5.0771053754678899E-2</v>
      </c>
    </row>
    <row r="1591" spans="30:32">
      <c r="AD1591" s="50">
        <v>521.4</v>
      </c>
      <c r="AE1591" s="51">
        <v>89.013999999999996</v>
      </c>
      <c r="AF1591" s="52">
        <f t="shared" si="268"/>
        <v>5.0541682741773904E-2</v>
      </c>
    </row>
    <row r="1592" spans="30:32">
      <c r="AD1592" s="50">
        <v>521.29999999999995</v>
      </c>
      <c r="AE1592" s="51">
        <v>89.028000000000006</v>
      </c>
      <c r="AF1592" s="52">
        <f t="shared" si="268"/>
        <v>5.0473382871415416E-2</v>
      </c>
    </row>
    <row r="1593" spans="30:32">
      <c r="AD1593" s="50">
        <v>521.20000000000005</v>
      </c>
      <c r="AE1593" s="51">
        <v>89.054000000000002</v>
      </c>
      <c r="AF1593" s="52">
        <f t="shared" si="268"/>
        <v>5.0346568745229581E-2</v>
      </c>
    </row>
    <row r="1594" spans="30:32">
      <c r="AD1594" s="50">
        <v>521.1</v>
      </c>
      <c r="AE1594" s="51">
        <v>89.061999999999998</v>
      </c>
      <c r="AF1594" s="52">
        <f t="shared" si="268"/>
        <v>5.0307556462699535E-2</v>
      </c>
    </row>
    <row r="1595" spans="30:32">
      <c r="AD1595" s="50">
        <v>521</v>
      </c>
      <c r="AE1595" s="51">
        <v>89.078999999999994</v>
      </c>
      <c r="AF1595" s="52">
        <f t="shared" si="268"/>
        <v>5.0224666996324392E-2</v>
      </c>
    </row>
    <row r="1596" spans="30:32">
      <c r="AD1596" s="50">
        <v>520.9</v>
      </c>
      <c r="AE1596" s="51">
        <v>89.072000000000003</v>
      </c>
      <c r="AF1596" s="52">
        <f t="shared" si="268"/>
        <v>5.0258796037136767E-2</v>
      </c>
    </row>
    <row r="1597" spans="30:32">
      <c r="AD1597" s="50">
        <v>520.79999999999995</v>
      </c>
      <c r="AE1597" s="51">
        <v>89.144999999999996</v>
      </c>
      <c r="AF1597" s="52">
        <f t="shared" si="268"/>
        <v>4.9903010686109271E-2</v>
      </c>
    </row>
    <row r="1598" spans="30:32">
      <c r="AD1598" s="50">
        <v>520.70000000000005</v>
      </c>
      <c r="AE1598" s="51">
        <v>89.119</v>
      </c>
      <c r="AF1598" s="52">
        <f t="shared" si="268"/>
        <v>5.0029695340437108E-2</v>
      </c>
    </row>
    <row r="1599" spans="30:32">
      <c r="AD1599" s="50">
        <v>520.6</v>
      </c>
      <c r="AE1599" s="51">
        <v>89.21</v>
      </c>
      <c r="AF1599" s="52">
        <f t="shared" si="268"/>
        <v>4.958646063061898E-2</v>
      </c>
    </row>
    <row r="1600" spans="30:32">
      <c r="AD1600" s="50">
        <v>520.5</v>
      </c>
      <c r="AE1600" s="51">
        <v>89.191000000000003</v>
      </c>
      <c r="AF1600" s="52">
        <f t="shared" si="268"/>
        <v>4.9678966784590724E-2</v>
      </c>
    </row>
    <row r="1601" spans="30:32">
      <c r="AD1601" s="50">
        <v>520.4</v>
      </c>
      <c r="AE1601" s="51">
        <v>89.153999999999996</v>
      </c>
      <c r="AF1601" s="52">
        <f t="shared" si="268"/>
        <v>4.9859166914237862E-2</v>
      </c>
    </row>
    <row r="1602" spans="30:32">
      <c r="AD1602" s="50">
        <v>520.29999999999995</v>
      </c>
      <c r="AE1602" s="51">
        <v>89.171000000000006</v>
      </c>
      <c r="AF1602" s="52">
        <f t="shared" si="268"/>
        <v>4.9776362975197053E-2</v>
      </c>
    </row>
    <row r="1603" spans="30:32">
      <c r="AD1603" s="50">
        <v>520.20000000000005</v>
      </c>
      <c r="AE1603" s="51">
        <v>89.168999999999997</v>
      </c>
      <c r="AF1603" s="52">
        <f t="shared" si="268"/>
        <v>4.9786103795695522E-2</v>
      </c>
    </row>
    <row r="1604" spans="30:32">
      <c r="AD1604" s="50">
        <v>520.1</v>
      </c>
      <c r="AE1604" s="51">
        <v>89.191000000000003</v>
      </c>
      <c r="AF1604" s="52">
        <f t="shared" si="268"/>
        <v>4.9678966784590724E-2</v>
      </c>
    </row>
    <row r="1605" spans="30:32">
      <c r="AD1605" s="50">
        <v>520</v>
      </c>
      <c r="AE1605" s="51">
        <v>89.231999999999999</v>
      </c>
      <c r="AF1605" s="52">
        <f t="shared" ref="AF1605:AF1668" si="269">-LOG(AE1605/100)</f>
        <v>4.9479372852514199E-2</v>
      </c>
    </row>
    <row r="1606" spans="30:32">
      <c r="AD1606" s="50">
        <v>519.9</v>
      </c>
      <c r="AE1606" s="51">
        <v>89.234999999999999</v>
      </c>
      <c r="AF1606" s="52">
        <f t="shared" si="269"/>
        <v>4.9464772019353655E-2</v>
      </c>
    </row>
    <row r="1607" spans="30:32">
      <c r="AD1607" s="50">
        <v>519.79999999999995</v>
      </c>
      <c r="AE1607" s="51">
        <v>89.242000000000004</v>
      </c>
      <c r="AF1607" s="52">
        <f t="shared" si="269"/>
        <v>4.9430705317483031E-2</v>
      </c>
    </row>
    <row r="1608" spans="30:32">
      <c r="AD1608" s="50">
        <v>519.70000000000005</v>
      </c>
      <c r="AE1608" s="51">
        <v>89.241</v>
      </c>
      <c r="AF1608" s="52">
        <f t="shared" si="269"/>
        <v>4.9435571825575182E-2</v>
      </c>
    </row>
    <row r="1609" spans="30:32">
      <c r="AD1609" s="50">
        <v>519.6</v>
      </c>
      <c r="AE1609" s="51">
        <v>89.236999999999995</v>
      </c>
      <c r="AF1609" s="52">
        <f t="shared" si="269"/>
        <v>4.9455038403281179E-2</v>
      </c>
    </row>
    <row r="1610" spans="30:32">
      <c r="AD1610" s="50">
        <v>519.5</v>
      </c>
      <c r="AE1610" s="51">
        <v>89.238</v>
      </c>
      <c r="AF1610" s="52">
        <f t="shared" si="269"/>
        <v>4.9450171677051673E-2</v>
      </c>
    </row>
    <row r="1611" spans="30:32">
      <c r="AD1611" s="50">
        <v>519.4</v>
      </c>
      <c r="AE1611" s="51">
        <v>89.293999999999997</v>
      </c>
      <c r="AF1611" s="52">
        <f t="shared" si="269"/>
        <v>4.9177722012182623E-2</v>
      </c>
    </row>
    <row r="1612" spans="30:32">
      <c r="AD1612" s="50">
        <v>519.29999999999995</v>
      </c>
      <c r="AE1612" s="51">
        <v>89.334999999999994</v>
      </c>
      <c r="AF1612" s="52">
        <f t="shared" si="269"/>
        <v>4.8978358257465056E-2</v>
      </c>
    </row>
    <row r="1613" spans="30:32">
      <c r="AD1613" s="50">
        <v>519.20000000000005</v>
      </c>
      <c r="AE1613" s="51">
        <v>89.334000000000003</v>
      </c>
      <c r="AF1613" s="52">
        <f t="shared" si="269"/>
        <v>4.8983219699370542E-2</v>
      </c>
    </row>
    <row r="1614" spans="30:32">
      <c r="AD1614" s="50">
        <v>519.1</v>
      </c>
      <c r="AE1614" s="51">
        <v>89.320999999999998</v>
      </c>
      <c r="AF1614" s="52">
        <f t="shared" si="269"/>
        <v>4.9046423396716943E-2</v>
      </c>
    </row>
    <row r="1615" spans="30:32">
      <c r="AD1615" s="50">
        <v>519</v>
      </c>
      <c r="AE1615" s="51">
        <v>89.228999999999999</v>
      </c>
      <c r="AF1615" s="52">
        <f t="shared" si="269"/>
        <v>4.9493974176566306E-2</v>
      </c>
    </row>
    <row r="1616" spans="30:32">
      <c r="AD1616" s="50">
        <v>518.9</v>
      </c>
      <c r="AE1616" s="51">
        <v>89.268000000000001</v>
      </c>
      <c r="AF1616" s="52">
        <f t="shared" si="269"/>
        <v>4.9304195243993217E-2</v>
      </c>
    </row>
    <row r="1617" spans="30:32">
      <c r="AD1617" s="50">
        <v>518.79999999999995</v>
      </c>
      <c r="AE1617" s="51">
        <v>89.322999999999993</v>
      </c>
      <c r="AF1617" s="52">
        <f t="shared" si="269"/>
        <v>4.9036699152254844E-2</v>
      </c>
    </row>
    <row r="1618" spans="30:32">
      <c r="AD1618" s="50">
        <v>518.70000000000005</v>
      </c>
      <c r="AE1618" s="51">
        <v>89.319000000000003</v>
      </c>
      <c r="AF1618" s="52">
        <f t="shared" si="269"/>
        <v>4.9056147858918452E-2</v>
      </c>
    </row>
    <row r="1619" spans="30:32">
      <c r="AD1619" s="50">
        <v>518.6</v>
      </c>
      <c r="AE1619" s="51">
        <v>89.319000000000003</v>
      </c>
      <c r="AF1619" s="52">
        <f t="shared" si="269"/>
        <v>4.9056147858918452E-2</v>
      </c>
    </row>
    <row r="1620" spans="30:32">
      <c r="AD1620" s="50">
        <v>518.5</v>
      </c>
      <c r="AE1620" s="51">
        <v>89.31</v>
      </c>
      <c r="AF1620" s="52">
        <f t="shared" si="269"/>
        <v>4.9099910633612798E-2</v>
      </c>
    </row>
    <row r="1621" spans="30:32">
      <c r="AD1621" s="50">
        <v>518.4</v>
      </c>
      <c r="AE1621" s="51">
        <v>89.325000000000003</v>
      </c>
      <c r="AF1621" s="52">
        <f t="shared" si="269"/>
        <v>4.9026975125522454E-2</v>
      </c>
    </row>
    <row r="1622" spans="30:32">
      <c r="AD1622" s="50">
        <v>518.29999999999995</v>
      </c>
      <c r="AE1622" s="51">
        <v>89.323999999999998</v>
      </c>
      <c r="AF1622" s="52">
        <f t="shared" si="269"/>
        <v>4.903183711167302E-2</v>
      </c>
    </row>
    <row r="1623" spans="30:32">
      <c r="AD1623" s="50">
        <v>518.20000000000005</v>
      </c>
      <c r="AE1623" s="51">
        <v>89.346999999999994</v>
      </c>
      <c r="AF1623" s="52">
        <f t="shared" si="269"/>
        <v>4.8920025198839402E-2</v>
      </c>
    </row>
    <row r="1624" spans="30:32">
      <c r="AD1624" s="50">
        <v>518.1</v>
      </c>
      <c r="AE1624" s="51">
        <v>89.367000000000004</v>
      </c>
      <c r="AF1624" s="52">
        <f t="shared" si="269"/>
        <v>4.8822820842445061E-2</v>
      </c>
    </row>
    <row r="1625" spans="30:32">
      <c r="AD1625" s="50">
        <v>518</v>
      </c>
      <c r="AE1625" s="51">
        <v>89.41</v>
      </c>
      <c r="AF1625" s="52">
        <f t="shared" si="269"/>
        <v>4.8613905119707174E-2</v>
      </c>
    </row>
    <row r="1626" spans="30:32">
      <c r="AD1626" s="50">
        <v>517.9</v>
      </c>
      <c r="AE1626" s="51">
        <v>89.382000000000005</v>
      </c>
      <c r="AF1626" s="52">
        <f t="shared" si="269"/>
        <v>4.8749931850128013E-2</v>
      </c>
    </row>
    <row r="1627" spans="30:32">
      <c r="AD1627" s="50">
        <v>517.79999999999995</v>
      </c>
      <c r="AE1627" s="51">
        <v>89.353999999999999</v>
      </c>
      <c r="AF1627" s="52">
        <f t="shared" si="269"/>
        <v>4.8886001199254868E-2</v>
      </c>
    </row>
    <row r="1628" spans="30:32">
      <c r="AD1628" s="50">
        <v>517.70000000000005</v>
      </c>
      <c r="AE1628" s="51">
        <v>89.332999999999998</v>
      </c>
      <c r="AF1628" s="52">
        <f t="shared" si="269"/>
        <v>4.8988081195695109E-2</v>
      </c>
    </row>
    <row r="1629" spans="30:32">
      <c r="AD1629" s="50">
        <v>517.6</v>
      </c>
      <c r="AE1629" s="51">
        <v>89.340999999999994</v>
      </c>
      <c r="AF1629" s="52">
        <f t="shared" si="269"/>
        <v>4.8949190748763312E-2</v>
      </c>
    </row>
    <row r="1630" spans="30:32">
      <c r="AD1630" s="50">
        <v>517.5</v>
      </c>
      <c r="AE1630" s="51">
        <v>89.382999999999996</v>
      </c>
      <c r="AF1630" s="52">
        <f t="shared" si="269"/>
        <v>4.8745073018903774E-2</v>
      </c>
    </row>
    <row r="1631" spans="30:32">
      <c r="AD1631" s="50">
        <v>517.4</v>
      </c>
      <c r="AE1631" s="51">
        <v>89.417000000000002</v>
      </c>
      <c r="AF1631" s="52">
        <f t="shared" si="269"/>
        <v>4.857990509314658E-2</v>
      </c>
    </row>
    <row r="1632" spans="30:32">
      <c r="AD1632" s="50">
        <v>517.29999999999995</v>
      </c>
      <c r="AE1632" s="51">
        <v>89.37</v>
      </c>
      <c r="AF1632" s="52">
        <f t="shared" si="269"/>
        <v>4.8808242065293925E-2</v>
      </c>
    </row>
    <row r="1633" spans="30:32">
      <c r="AD1633" s="50">
        <v>517.20000000000005</v>
      </c>
      <c r="AE1633" s="51">
        <v>89.406999999999996</v>
      </c>
      <c r="AF1633" s="52">
        <f t="shared" si="269"/>
        <v>4.8628477374535697E-2</v>
      </c>
    </row>
    <row r="1634" spans="30:32">
      <c r="AD1634" s="50">
        <v>517.1</v>
      </c>
      <c r="AE1634" s="51">
        <v>89.445999999999998</v>
      </c>
      <c r="AF1634" s="52">
        <f t="shared" si="269"/>
        <v>4.8439076189622024E-2</v>
      </c>
    </row>
    <row r="1635" spans="30:32">
      <c r="AD1635" s="50">
        <v>517</v>
      </c>
      <c r="AE1635" s="51">
        <v>89.445999999999998</v>
      </c>
      <c r="AF1635" s="52">
        <f t="shared" si="269"/>
        <v>4.8439076189622024E-2</v>
      </c>
    </row>
    <row r="1636" spans="30:32">
      <c r="AD1636" s="50">
        <v>516.9</v>
      </c>
      <c r="AE1636" s="51">
        <v>89.456999999999994</v>
      </c>
      <c r="AF1636" s="52">
        <f t="shared" si="269"/>
        <v>4.8385670273489223E-2</v>
      </c>
    </row>
    <row r="1637" spans="30:32">
      <c r="AD1637" s="50">
        <v>516.79999999999995</v>
      </c>
      <c r="AE1637" s="51">
        <v>89.558999999999997</v>
      </c>
      <c r="AF1637" s="52">
        <f t="shared" si="269"/>
        <v>4.7890764321530367E-2</v>
      </c>
    </row>
    <row r="1638" spans="30:32">
      <c r="AD1638" s="50">
        <v>516.70000000000005</v>
      </c>
      <c r="AE1638" s="51">
        <v>89.483999999999995</v>
      </c>
      <c r="AF1638" s="52">
        <f t="shared" si="269"/>
        <v>4.8254610861723599E-2</v>
      </c>
    </row>
    <row r="1639" spans="30:32">
      <c r="AD1639" s="50">
        <v>516.6</v>
      </c>
      <c r="AE1639" s="51">
        <v>89.564999999999998</v>
      </c>
      <c r="AF1639" s="52">
        <f t="shared" si="269"/>
        <v>4.7861669762538923E-2</v>
      </c>
    </row>
    <row r="1640" spans="30:32">
      <c r="AD1640" s="50">
        <v>516.5</v>
      </c>
      <c r="AE1640" s="51">
        <v>89.558000000000007</v>
      </c>
      <c r="AF1640" s="52">
        <f t="shared" si="269"/>
        <v>4.7895613604199305E-2</v>
      </c>
    </row>
    <row r="1641" spans="30:32">
      <c r="AD1641" s="50">
        <v>516.4</v>
      </c>
      <c r="AE1641" s="51">
        <v>89.531000000000006</v>
      </c>
      <c r="AF1641" s="52">
        <f t="shared" si="269"/>
        <v>4.802656470784307E-2</v>
      </c>
    </row>
    <row r="1642" spans="30:32">
      <c r="AD1642" s="50">
        <v>516.29999999999995</v>
      </c>
      <c r="AE1642" s="51">
        <v>89.506</v>
      </c>
      <c r="AF1642" s="52">
        <f t="shared" si="269"/>
        <v>4.8147850946086014E-2</v>
      </c>
    </row>
    <row r="1643" spans="30:32">
      <c r="AD1643" s="50">
        <v>516.20000000000005</v>
      </c>
      <c r="AE1643" s="51">
        <v>89.522999999999996</v>
      </c>
      <c r="AF1643" s="52">
        <f t="shared" si="269"/>
        <v>4.8065372618948561E-2</v>
      </c>
    </row>
    <row r="1644" spans="30:32">
      <c r="AD1644" s="50">
        <v>516.1</v>
      </c>
      <c r="AE1644" s="51">
        <v>89.593000000000004</v>
      </c>
      <c r="AF1644" s="52">
        <f t="shared" si="269"/>
        <v>4.7725920919704103E-2</v>
      </c>
    </row>
    <row r="1645" spans="30:32">
      <c r="AD1645" s="50">
        <v>516</v>
      </c>
      <c r="AE1645" s="51">
        <v>89.641999999999996</v>
      </c>
      <c r="AF1645" s="52">
        <f t="shared" si="269"/>
        <v>4.7488462497594391E-2</v>
      </c>
    </row>
    <row r="1646" spans="30:32">
      <c r="AD1646" s="50">
        <v>515.9</v>
      </c>
      <c r="AE1646" s="51">
        <v>89.596999999999994</v>
      </c>
      <c r="AF1646" s="52">
        <f t="shared" si="269"/>
        <v>4.7706531691199185E-2</v>
      </c>
    </row>
    <row r="1647" spans="30:32">
      <c r="AD1647" s="50">
        <v>515.79999999999995</v>
      </c>
      <c r="AE1647" s="51">
        <v>89.581999999999994</v>
      </c>
      <c r="AF1647" s="52">
        <f t="shared" si="269"/>
        <v>4.7779245761974953E-2</v>
      </c>
    </row>
    <row r="1648" spans="30:32">
      <c r="AD1648" s="50">
        <v>515.70000000000005</v>
      </c>
      <c r="AE1648" s="51">
        <v>89.581999999999994</v>
      </c>
      <c r="AF1648" s="52">
        <f t="shared" si="269"/>
        <v>4.7779245761974953E-2</v>
      </c>
    </row>
    <row r="1649" spans="30:32">
      <c r="AD1649" s="50">
        <v>515.6</v>
      </c>
      <c r="AE1649" s="51">
        <v>89.61</v>
      </c>
      <c r="AF1649" s="52">
        <f t="shared" si="269"/>
        <v>4.764352267620927E-2</v>
      </c>
    </row>
    <row r="1650" spans="30:32">
      <c r="AD1650" s="50">
        <v>515.5</v>
      </c>
      <c r="AE1650" s="51">
        <v>89.638999999999996</v>
      </c>
      <c r="AF1650" s="52">
        <f t="shared" si="269"/>
        <v>4.7502997037739025E-2</v>
      </c>
    </row>
    <row r="1651" spans="30:32">
      <c r="AD1651" s="50">
        <v>515.4</v>
      </c>
      <c r="AE1651" s="51">
        <v>89.602999999999994</v>
      </c>
      <c r="AF1651" s="52">
        <f t="shared" si="269"/>
        <v>4.7677449471417978E-2</v>
      </c>
    </row>
    <row r="1652" spans="30:32">
      <c r="AD1652" s="50">
        <v>515.29999999999995</v>
      </c>
      <c r="AE1652" s="51">
        <v>89.652000000000001</v>
      </c>
      <c r="AF1652" s="52">
        <f t="shared" si="269"/>
        <v>4.7440017543234118E-2</v>
      </c>
    </row>
    <row r="1653" spans="30:32">
      <c r="AD1653" s="50">
        <v>515.20000000000005</v>
      </c>
      <c r="AE1653" s="51">
        <v>89.61</v>
      </c>
      <c r="AF1653" s="52">
        <f t="shared" si="269"/>
        <v>4.764352267620927E-2</v>
      </c>
    </row>
    <row r="1654" spans="30:32">
      <c r="AD1654" s="50">
        <v>515.1</v>
      </c>
      <c r="AE1654" s="51">
        <v>89.634</v>
      </c>
      <c r="AF1654" s="52">
        <f t="shared" si="269"/>
        <v>4.7527222352315948E-2</v>
      </c>
    </row>
    <row r="1655" spans="30:32">
      <c r="AD1655" s="50">
        <v>515</v>
      </c>
      <c r="AE1655" s="51">
        <v>89.603999999999999</v>
      </c>
      <c r="AF1655" s="52">
        <f t="shared" si="269"/>
        <v>4.7672602624119535E-2</v>
      </c>
    </row>
    <row r="1656" spans="30:32">
      <c r="AD1656" s="50">
        <v>514.9</v>
      </c>
      <c r="AE1656" s="51">
        <v>89.603999999999999</v>
      </c>
      <c r="AF1656" s="52">
        <f t="shared" si="269"/>
        <v>4.7672602624119535E-2</v>
      </c>
    </row>
    <row r="1657" spans="30:32">
      <c r="AD1657" s="50">
        <v>514.79999999999995</v>
      </c>
      <c r="AE1657" s="51">
        <v>89.655000000000001</v>
      </c>
      <c r="AF1657" s="52">
        <f t="shared" si="269"/>
        <v>4.7425485110637169E-2</v>
      </c>
    </row>
    <row r="1658" spans="30:32">
      <c r="AD1658" s="50">
        <v>514.70000000000005</v>
      </c>
      <c r="AE1658" s="51">
        <v>89.634</v>
      </c>
      <c r="AF1658" s="52">
        <f t="shared" si="269"/>
        <v>4.7527222352315948E-2</v>
      </c>
    </row>
    <row r="1659" spans="30:32">
      <c r="AD1659" s="50">
        <v>514.6</v>
      </c>
      <c r="AE1659" s="51">
        <v>89.617000000000004</v>
      </c>
      <c r="AF1659" s="52">
        <f t="shared" si="269"/>
        <v>4.7609598531132141E-2</v>
      </c>
    </row>
    <row r="1660" spans="30:32">
      <c r="AD1660" s="50">
        <v>514.5</v>
      </c>
      <c r="AE1660" s="51">
        <v>89.641000000000005</v>
      </c>
      <c r="AF1660" s="52">
        <f t="shared" si="269"/>
        <v>4.749330729026191E-2</v>
      </c>
    </row>
    <row r="1661" spans="30:32">
      <c r="AD1661" s="50">
        <v>514.4</v>
      </c>
      <c r="AE1661" s="51">
        <v>89.593999999999994</v>
      </c>
      <c r="AF1661" s="52">
        <f t="shared" si="269"/>
        <v>4.7721073531423637E-2</v>
      </c>
    </row>
    <row r="1662" spans="30:32">
      <c r="AD1662" s="50">
        <v>514.29999999999995</v>
      </c>
      <c r="AE1662" s="51">
        <v>89.665999999999997</v>
      </c>
      <c r="AF1662" s="52">
        <f t="shared" si="269"/>
        <v>4.737220368451385E-2</v>
      </c>
    </row>
    <row r="1663" spans="30:32">
      <c r="AD1663" s="50">
        <v>514.20000000000005</v>
      </c>
      <c r="AE1663" s="51">
        <v>89.653999999999996</v>
      </c>
      <c r="AF1663" s="52">
        <f t="shared" si="269"/>
        <v>4.7430329200804491E-2</v>
      </c>
    </row>
    <row r="1664" spans="30:32">
      <c r="AD1664" s="50">
        <v>514.1</v>
      </c>
      <c r="AE1664" s="51">
        <v>89.667000000000002</v>
      </c>
      <c r="AF1664" s="52">
        <f t="shared" si="269"/>
        <v>4.7367360242627457E-2</v>
      </c>
    </row>
    <row r="1665" spans="30:32">
      <c r="AD1665" s="50">
        <v>514</v>
      </c>
      <c r="AE1665" s="51">
        <v>89.64</v>
      </c>
      <c r="AF1665" s="52">
        <f t="shared" si="269"/>
        <v>4.7498152136976404E-2</v>
      </c>
    </row>
    <row r="1666" spans="30:32">
      <c r="AD1666" s="50">
        <v>513.9</v>
      </c>
      <c r="AE1666" s="51">
        <v>89.668000000000006</v>
      </c>
      <c r="AF1666" s="52">
        <f t="shared" si="269"/>
        <v>4.7362516854756599E-2</v>
      </c>
    </row>
    <row r="1667" spans="30:32">
      <c r="AD1667" s="50">
        <v>513.79999999999995</v>
      </c>
      <c r="AE1667" s="51">
        <v>89.632999999999996</v>
      </c>
      <c r="AF1667" s="52">
        <f t="shared" si="269"/>
        <v>4.7532067577392624E-2</v>
      </c>
    </row>
    <row r="1668" spans="30:32">
      <c r="AD1668" s="50">
        <v>513.70000000000005</v>
      </c>
      <c r="AE1668" s="51">
        <v>89.665999999999997</v>
      </c>
      <c r="AF1668" s="52">
        <f t="shared" si="269"/>
        <v>4.737220368451385E-2</v>
      </c>
    </row>
    <row r="1669" spans="30:32">
      <c r="AD1669" s="50">
        <v>513.6</v>
      </c>
      <c r="AE1669" s="51">
        <v>89.605999999999995</v>
      </c>
      <c r="AF1669" s="52">
        <f t="shared" ref="AF1669:AF1732" si="270">-LOG(AE1669/100)</f>
        <v>4.7662909091796081E-2</v>
      </c>
    </row>
    <row r="1670" spans="30:32">
      <c r="AD1670" s="50">
        <v>513.5</v>
      </c>
      <c r="AE1670" s="51">
        <v>89.635000000000005</v>
      </c>
      <c r="AF1670" s="52">
        <f t="shared" si="270"/>
        <v>4.7522377181294623E-2</v>
      </c>
    </row>
    <row r="1671" spans="30:32">
      <c r="AD1671" s="50">
        <v>513.4</v>
      </c>
      <c r="AE1671" s="51">
        <v>89.614000000000004</v>
      </c>
      <c r="AF1671" s="52">
        <f t="shared" si="270"/>
        <v>4.7624137125971543E-2</v>
      </c>
    </row>
    <row r="1672" spans="30:32">
      <c r="AD1672" s="50">
        <v>513.29999999999995</v>
      </c>
      <c r="AE1672" s="51">
        <v>89.602999999999994</v>
      </c>
      <c r="AF1672" s="52">
        <f t="shared" si="270"/>
        <v>4.7677449471417978E-2</v>
      </c>
    </row>
    <row r="1673" spans="30:32">
      <c r="AD1673" s="50">
        <v>513.20000000000005</v>
      </c>
      <c r="AE1673" s="51">
        <v>89.602999999999994</v>
      </c>
      <c r="AF1673" s="52">
        <f t="shared" si="270"/>
        <v>4.7677449471417978E-2</v>
      </c>
    </row>
    <row r="1674" spans="30:32">
      <c r="AD1674" s="50">
        <v>513.1</v>
      </c>
      <c r="AE1674" s="51">
        <v>89.585999999999999</v>
      </c>
      <c r="AF1674" s="52">
        <f t="shared" si="270"/>
        <v>4.7759854152670804E-2</v>
      </c>
    </row>
    <row r="1675" spans="30:32">
      <c r="AD1675" s="50">
        <v>513</v>
      </c>
      <c r="AE1675" s="51">
        <v>89.620999999999995</v>
      </c>
      <c r="AF1675" s="52">
        <f t="shared" si="270"/>
        <v>4.7590214495069491E-2</v>
      </c>
    </row>
    <row r="1676" spans="30:32">
      <c r="AD1676" s="50">
        <v>512.9</v>
      </c>
      <c r="AE1676" s="51">
        <v>89.602000000000004</v>
      </c>
      <c r="AF1676" s="52">
        <f t="shared" si="270"/>
        <v>4.7682296372809185E-2</v>
      </c>
    </row>
    <row r="1677" spans="30:32">
      <c r="AD1677" s="50">
        <v>512.79999999999995</v>
      </c>
      <c r="AE1677" s="51">
        <v>89.685000000000002</v>
      </c>
      <c r="AF1677" s="52">
        <f t="shared" si="270"/>
        <v>4.7280187524168703E-2</v>
      </c>
    </row>
    <row r="1678" spans="30:32">
      <c r="AD1678" s="50">
        <v>512.70000000000005</v>
      </c>
      <c r="AE1678" s="51">
        <v>89.664000000000001</v>
      </c>
      <c r="AF1678" s="52">
        <f t="shared" si="270"/>
        <v>4.738189073033823E-2</v>
      </c>
    </row>
    <row r="1679" spans="30:32">
      <c r="AD1679" s="50">
        <v>512.6</v>
      </c>
      <c r="AE1679" s="51">
        <v>89.64</v>
      </c>
      <c r="AF1679" s="52">
        <f t="shared" si="270"/>
        <v>4.7498152136976404E-2</v>
      </c>
    </row>
    <row r="1680" spans="30:32">
      <c r="AD1680" s="50">
        <v>512.5</v>
      </c>
      <c r="AE1680" s="51">
        <v>89.65</v>
      </c>
      <c r="AF1680" s="52">
        <f t="shared" si="270"/>
        <v>4.7449706101798314E-2</v>
      </c>
    </row>
    <row r="1681" spans="30:32">
      <c r="AD1681" s="50">
        <v>512.4</v>
      </c>
      <c r="AE1681" s="51">
        <v>89.606999999999999</v>
      </c>
      <c r="AF1681" s="52">
        <f t="shared" si="270"/>
        <v>4.7658062406768648E-2</v>
      </c>
    </row>
    <row r="1682" spans="30:32">
      <c r="AD1682" s="50">
        <v>512.29999999999995</v>
      </c>
      <c r="AE1682" s="51">
        <v>89.625</v>
      </c>
      <c r="AF1682" s="52">
        <f t="shared" si="270"/>
        <v>4.757083132414347E-2</v>
      </c>
    </row>
    <row r="1683" spans="30:32">
      <c r="AD1683" s="50">
        <v>512.20000000000005</v>
      </c>
      <c r="AE1683" s="51">
        <v>89.555000000000007</v>
      </c>
      <c r="AF1683" s="52">
        <f t="shared" si="270"/>
        <v>4.7910161777093847E-2</v>
      </c>
    </row>
    <row r="1684" spans="30:32">
      <c r="AD1684" s="50">
        <v>512.1</v>
      </c>
      <c r="AE1684" s="51">
        <v>89.552999999999997</v>
      </c>
      <c r="AF1684" s="52">
        <f t="shared" si="270"/>
        <v>4.7919860829775451E-2</v>
      </c>
    </row>
    <row r="1685" spans="30:32">
      <c r="AD1685" s="50">
        <v>512</v>
      </c>
      <c r="AE1685" s="51">
        <v>89.563000000000002</v>
      </c>
      <c r="AF1685" s="52">
        <f t="shared" si="270"/>
        <v>4.7871367732301759E-2</v>
      </c>
    </row>
    <row r="1686" spans="30:32">
      <c r="AD1686" s="50">
        <v>511.9</v>
      </c>
      <c r="AE1686" s="51">
        <v>89.52</v>
      </c>
      <c r="AF1686" s="52">
        <f t="shared" si="270"/>
        <v>4.8079926479706374E-2</v>
      </c>
    </row>
    <row r="1687" spans="30:32">
      <c r="AD1687" s="50">
        <v>511.8</v>
      </c>
      <c r="AE1687" s="51">
        <v>89.543000000000006</v>
      </c>
      <c r="AF1687" s="52">
        <f t="shared" si="270"/>
        <v>4.7968359342567927E-2</v>
      </c>
    </row>
    <row r="1688" spans="30:32">
      <c r="AD1688" s="50">
        <v>511.7</v>
      </c>
      <c r="AE1688" s="51">
        <v>89.564999999999998</v>
      </c>
      <c r="AF1688" s="52">
        <f t="shared" si="270"/>
        <v>4.7861669762538923E-2</v>
      </c>
    </row>
    <row r="1689" spans="30:32">
      <c r="AD1689" s="50">
        <v>511.6</v>
      </c>
      <c r="AE1689" s="51">
        <v>89.582999999999998</v>
      </c>
      <c r="AF1689" s="52">
        <f t="shared" si="270"/>
        <v>4.7774397778474711E-2</v>
      </c>
    </row>
    <row r="1690" spans="30:32">
      <c r="AD1690" s="50">
        <v>511.5</v>
      </c>
      <c r="AE1690" s="51">
        <v>89.605999999999995</v>
      </c>
      <c r="AF1690" s="52">
        <f t="shared" si="270"/>
        <v>4.7662909091796081E-2</v>
      </c>
    </row>
    <row r="1691" spans="30:32">
      <c r="AD1691" s="50">
        <v>511.4</v>
      </c>
      <c r="AE1691" s="51">
        <v>89.653000000000006</v>
      </c>
      <c r="AF1691" s="52">
        <f t="shared" si="270"/>
        <v>4.7435173345003051E-2</v>
      </c>
    </row>
    <row r="1692" spans="30:32">
      <c r="AD1692" s="50">
        <v>511.3</v>
      </c>
      <c r="AE1692" s="51">
        <v>89.564999999999998</v>
      </c>
      <c r="AF1692" s="52">
        <f t="shared" si="270"/>
        <v>4.7861669762538923E-2</v>
      </c>
    </row>
    <row r="1693" spans="30:32">
      <c r="AD1693" s="50">
        <v>511.2</v>
      </c>
      <c r="AE1693" s="51">
        <v>89.55</v>
      </c>
      <c r="AF1693" s="52">
        <f t="shared" si="270"/>
        <v>4.7934409814949688E-2</v>
      </c>
    </row>
    <row r="1694" spans="30:32">
      <c r="AD1694" s="50">
        <v>511.1</v>
      </c>
      <c r="AE1694" s="51">
        <v>89.528999999999996</v>
      </c>
      <c r="AF1694" s="52">
        <f t="shared" si="270"/>
        <v>4.8036266360516458E-2</v>
      </c>
    </row>
    <row r="1695" spans="30:32">
      <c r="AD1695" s="50">
        <v>511</v>
      </c>
      <c r="AE1695" s="51">
        <v>89.503</v>
      </c>
      <c r="AF1695" s="52">
        <f t="shared" si="270"/>
        <v>4.8162407571125325E-2</v>
      </c>
    </row>
    <row r="1696" spans="30:32">
      <c r="AD1696" s="50">
        <v>510.9</v>
      </c>
      <c r="AE1696" s="51">
        <v>89.486000000000004</v>
      </c>
      <c r="AF1696" s="52">
        <f t="shared" si="270"/>
        <v>4.8244904330306676E-2</v>
      </c>
    </row>
    <row r="1697" spans="30:32">
      <c r="AD1697" s="50">
        <v>510.8</v>
      </c>
      <c r="AE1697" s="51">
        <v>89.537000000000006</v>
      </c>
      <c r="AF1697" s="52">
        <f t="shared" si="270"/>
        <v>4.7997461050099673E-2</v>
      </c>
    </row>
    <row r="1698" spans="30:32">
      <c r="AD1698" s="50">
        <v>510.7</v>
      </c>
      <c r="AE1698" s="51">
        <v>89.488</v>
      </c>
      <c r="AF1698" s="52">
        <f t="shared" si="270"/>
        <v>4.8235198015826992E-2</v>
      </c>
    </row>
    <row r="1699" spans="30:32">
      <c r="AD1699" s="50">
        <v>510.6</v>
      </c>
      <c r="AE1699" s="51">
        <v>89.488</v>
      </c>
      <c r="AF1699" s="52">
        <f t="shared" si="270"/>
        <v>4.8235198015826992E-2</v>
      </c>
    </row>
    <row r="1700" spans="30:32">
      <c r="AD1700" s="50">
        <v>510.5</v>
      </c>
      <c r="AE1700" s="51">
        <v>89.507000000000005</v>
      </c>
      <c r="AF1700" s="52">
        <f t="shared" si="270"/>
        <v>4.8142998846161307E-2</v>
      </c>
    </row>
    <row r="1701" spans="30:32">
      <c r="AD1701" s="50">
        <v>510.4</v>
      </c>
      <c r="AE1701" s="51">
        <v>89.441000000000003</v>
      </c>
      <c r="AF1701" s="52">
        <f t="shared" si="270"/>
        <v>4.8463353777262061E-2</v>
      </c>
    </row>
    <row r="1702" spans="30:32">
      <c r="AD1702" s="50">
        <v>510.3</v>
      </c>
      <c r="AE1702" s="51">
        <v>89.513000000000005</v>
      </c>
      <c r="AF1702" s="52">
        <f t="shared" si="270"/>
        <v>4.8113887384956998E-2</v>
      </c>
    </row>
    <row r="1703" spans="30:32">
      <c r="AD1703" s="50">
        <v>510.2</v>
      </c>
      <c r="AE1703" s="51">
        <v>89.531999999999996</v>
      </c>
      <c r="AF1703" s="52">
        <f t="shared" si="270"/>
        <v>4.8021713962776741E-2</v>
      </c>
    </row>
    <row r="1704" spans="30:32">
      <c r="AD1704" s="50">
        <v>510.1</v>
      </c>
      <c r="AE1704" s="51">
        <v>89.525999999999996</v>
      </c>
      <c r="AF1704" s="52">
        <f t="shared" si="270"/>
        <v>4.8050819245896152E-2</v>
      </c>
    </row>
    <row r="1705" spans="30:32">
      <c r="AD1705" s="50">
        <v>510</v>
      </c>
      <c r="AE1705" s="51">
        <v>89.466999999999999</v>
      </c>
      <c r="AF1705" s="52">
        <f t="shared" si="270"/>
        <v>4.8337125138978997E-2</v>
      </c>
    </row>
    <row r="1706" spans="30:32">
      <c r="AD1706" s="50">
        <v>509.9</v>
      </c>
      <c r="AE1706" s="51">
        <v>89.445999999999998</v>
      </c>
      <c r="AF1706" s="52">
        <f t="shared" si="270"/>
        <v>4.8439076189622024E-2</v>
      </c>
    </row>
    <row r="1707" spans="30:32">
      <c r="AD1707" s="50">
        <v>509.8</v>
      </c>
      <c r="AE1707" s="51">
        <v>89.375</v>
      </c>
      <c r="AF1707" s="52">
        <f t="shared" si="270"/>
        <v>4.8783945190862953E-2</v>
      </c>
    </row>
    <row r="1708" spans="30:32">
      <c r="AD1708" s="50">
        <v>509.7</v>
      </c>
      <c r="AE1708" s="51">
        <v>89.43</v>
      </c>
      <c r="AF1708" s="52">
        <f t="shared" si="270"/>
        <v>4.8516769247706745E-2</v>
      </c>
    </row>
    <row r="1709" spans="30:32">
      <c r="AD1709" s="50">
        <v>509.6</v>
      </c>
      <c r="AE1709" s="51">
        <v>89.492000000000004</v>
      </c>
      <c r="AF1709" s="52">
        <f t="shared" si="270"/>
        <v>4.8215786037640554E-2</v>
      </c>
    </row>
    <row r="1710" spans="30:32">
      <c r="AD1710" s="50">
        <v>509.5</v>
      </c>
      <c r="AE1710" s="51">
        <v>89.456000000000003</v>
      </c>
      <c r="AF1710" s="52">
        <f t="shared" si="270"/>
        <v>4.8390525085402342E-2</v>
      </c>
    </row>
    <row r="1711" spans="30:32">
      <c r="AD1711" s="50">
        <v>509.4</v>
      </c>
      <c r="AE1711" s="51">
        <v>89.478999999999999</v>
      </c>
      <c r="AF1711" s="52">
        <f t="shared" si="270"/>
        <v>4.8278878139429951E-2</v>
      </c>
    </row>
    <row r="1712" spans="30:32">
      <c r="AD1712" s="50">
        <v>509.3</v>
      </c>
      <c r="AE1712" s="51">
        <v>89.414000000000001</v>
      </c>
      <c r="AF1712" s="52">
        <f t="shared" si="270"/>
        <v>4.8594476207168544E-2</v>
      </c>
    </row>
    <row r="1713" spans="30:32">
      <c r="AD1713" s="50">
        <v>509.2</v>
      </c>
      <c r="AE1713" s="51">
        <v>89.444999999999993</v>
      </c>
      <c r="AF1713" s="52">
        <f t="shared" si="270"/>
        <v>4.8443931598579557E-2</v>
      </c>
    </row>
    <row r="1714" spans="30:32">
      <c r="AD1714" s="50">
        <v>509.1</v>
      </c>
      <c r="AE1714" s="51">
        <v>89.421000000000006</v>
      </c>
      <c r="AF1714" s="52">
        <f t="shared" si="270"/>
        <v>4.85604777015642E-2</v>
      </c>
    </row>
    <row r="1715" spans="30:32">
      <c r="AD1715" s="50">
        <v>509</v>
      </c>
      <c r="AE1715" s="51">
        <v>89.436999999999998</v>
      </c>
      <c r="AF1715" s="52">
        <f t="shared" si="270"/>
        <v>4.8482776824566975E-2</v>
      </c>
    </row>
    <row r="1716" spans="30:32">
      <c r="AD1716" s="50">
        <v>508.9</v>
      </c>
      <c r="AE1716" s="51">
        <v>89.427999999999997</v>
      </c>
      <c r="AF1716" s="52">
        <f t="shared" si="270"/>
        <v>4.8526481857305966E-2</v>
      </c>
    </row>
    <row r="1717" spans="30:32">
      <c r="AD1717" s="50">
        <v>508.8</v>
      </c>
      <c r="AE1717" s="51">
        <v>89.415999999999997</v>
      </c>
      <c r="AF1717" s="52">
        <f t="shared" si="270"/>
        <v>4.8584762076834272E-2</v>
      </c>
    </row>
    <row r="1718" spans="30:32">
      <c r="AD1718" s="50">
        <v>508.7</v>
      </c>
      <c r="AE1718" s="51">
        <v>89.433000000000007</v>
      </c>
      <c r="AF1718" s="52">
        <f t="shared" si="270"/>
        <v>4.8502200740571891E-2</v>
      </c>
    </row>
    <row r="1719" spans="30:32">
      <c r="AD1719" s="50">
        <v>508.6</v>
      </c>
      <c r="AE1719" s="51">
        <v>89.385999999999996</v>
      </c>
      <c r="AF1719" s="52">
        <f t="shared" si="270"/>
        <v>4.8730496851382157E-2</v>
      </c>
    </row>
    <row r="1720" spans="30:32">
      <c r="AD1720" s="50">
        <v>508.5</v>
      </c>
      <c r="AE1720" s="51">
        <v>89.366</v>
      </c>
      <c r="AF1720" s="52">
        <f t="shared" si="270"/>
        <v>4.8827680543584863E-2</v>
      </c>
    </row>
    <row r="1721" spans="30:32">
      <c r="AD1721" s="50">
        <v>508.4</v>
      </c>
      <c r="AE1721" s="51">
        <v>89.385000000000005</v>
      </c>
      <c r="AF1721" s="52">
        <f t="shared" si="270"/>
        <v>4.8735355519531974E-2</v>
      </c>
    </row>
    <row r="1722" spans="30:32">
      <c r="AD1722" s="50">
        <v>508.3</v>
      </c>
      <c r="AE1722" s="51">
        <v>89.54</v>
      </c>
      <c r="AF1722" s="52">
        <f t="shared" si="270"/>
        <v>4.7982909952573684E-2</v>
      </c>
    </row>
    <row r="1723" spans="30:32">
      <c r="AD1723" s="50">
        <v>508.2</v>
      </c>
      <c r="AE1723" s="51">
        <v>89.468000000000004</v>
      </c>
      <c r="AF1723" s="52">
        <f t="shared" si="270"/>
        <v>4.8332270923963368E-2</v>
      </c>
    </row>
    <row r="1724" spans="30:32">
      <c r="AD1724" s="50">
        <v>508.1</v>
      </c>
      <c r="AE1724" s="51">
        <v>89.355999999999995</v>
      </c>
      <c r="AF1724" s="52">
        <f t="shared" si="270"/>
        <v>4.8876280546086733E-2</v>
      </c>
    </row>
    <row r="1725" spans="30:32">
      <c r="AD1725" s="50">
        <v>508</v>
      </c>
      <c r="AE1725" s="51">
        <v>89.325999999999993</v>
      </c>
      <c r="AF1725" s="52">
        <f t="shared" si="270"/>
        <v>4.9022113193801883E-2</v>
      </c>
    </row>
    <row r="1726" spans="30:32">
      <c r="AD1726" s="50">
        <v>507.9</v>
      </c>
      <c r="AE1726" s="51">
        <v>89.305000000000007</v>
      </c>
      <c r="AF1726" s="52">
        <f t="shared" si="270"/>
        <v>4.9124225191853464E-2</v>
      </c>
    </row>
    <row r="1727" spans="30:32">
      <c r="AD1727" s="50">
        <v>507.8</v>
      </c>
      <c r="AE1727" s="51">
        <v>89.447999999999993</v>
      </c>
      <c r="AF1727" s="52">
        <f t="shared" si="270"/>
        <v>4.8429365534554347E-2</v>
      </c>
    </row>
    <row r="1728" spans="30:32">
      <c r="AD1728" s="50">
        <v>507.7</v>
      </c>
      <c r="AE1728" s="51">
        <v>89.426000000000002</v>
      </c>
      <c r="AF1728" s="52">
        <f t="shared" si="270"/>
        <v>4.8536194684123804E-2</v>
      </c>
    </row>
    <row r="1729" spans="30:32">
      <c r="AD1729" s="50">
        <v>507.6</v>
      </c>
      <c r="AE1729" s="51">
        <v>89.488</v>
      </c>
      <c r="AF1729" s="52">
        <f t="shared" si="270"/>
        <v>4.8235198015826992E-2</v>
      </c>
    </row>
    <row r="1730" spans="30:32">
      <c r="AD1730" s="50">
        <v>507.5</v>
      </c>
      <c r="AE1730" s="51">
        <v>89.393000000000001</v>
      </c>
      <c r="AF1730" s="52">
        <f t="shared" si="270"/>
        <v>4.8696487696225491E-2</v>
      </c>
    </row>
    <row r="1731" spans="30:32">
      <c r="AD1731" s="50">
        <v>507.4</v>
      </c>
      <c r="AE1731" s="51">
        <v>89.402000000000001</v>
      </c>
      <c r="AF1731" s="52">
        <f t="shared" si="270"/>
        <v>4.8652765552536552E-2</v>
      </c>
    </row>
    <row r="1732" spans="30:32">
      <c r="AD1732" s="50">
        <v>507.3</v>
      </c>
      <c r="AE1732" s="51">
        <v>89.403000000000006</v>
      </c>
      <c r="AF1732" s="52">
        <f t="shared" si="270"/>
        <v>4.8647907808268651E-2</v>
      </c>
    </row>
    <row r="1733" spans="30:32">
      <c r="AD1733" s="50">
        <v>507.2</v>
      </c>
      <c r="AE1733" s="51">
        <v>89.515000000000001</v>
      </c>
      <c r="AF1733" s="52">
        <f t="shared" ref="AF1733:AF1796" si="271">-LOG(AE1733/100)</f>
        <v>4.8104183998181317E-2</v>
      </c>
    </row>
    <row r="1734" spans="30:32">
      <c r="AD1734" s="50">
        <v>507.1</v>
      </c>
      <c r="AE1734" s="51">
        <v>89.504999999999995</v>
      </c>
      <c r="AF1734" s="52">
        <f t="shared" si="271"/>
        <v>4.8152703100220795E-2</v>
      </c>
    </row>
    <row r="1735" spans="30:32">
      <c r="AD1735" s="50">
        <v>507</v>
      </c>
      <c r="AE1735" s="51">
        <v>89.477999999999994</v>
      </c>
      <c r="AF1735" s="52">
        <f t="shared" si="271"/>
        <v>4.8283731757694792E-2</v>
      </c>
    </row>
    <row r="1736" spans="30:32">
      <c r="AD1736" s="50">
        <v>506.9</v>
      </c>
      <c r="AE1736" s="51">
        <v>89.444999999999993</v>
      </c>
      <c r="AF1736" s="52">
        <f t="shared" si="271"/>
        <v>4.8443931598579557E-2</v>
      </c>
    </row>
    <row r="1737" spans="30:32">
      <c r="AD1737" s="50">
        <v>506.8</v>
      </c>
      <c r="AE1737" s="51">
        <v>89.441000000000003</v>
      </c>
      <c r="AF1737" s="52">
        <f t="shared" si="271"/>
        <v>4.8463353777262061E-2</v>
      </c>
    </row>
    <row r="1738" spans="30:32">
      <c r="AD1738" s="50">
        <v>506.7</v>
      </c>
      <c r="AE1738" s="51">
        <v>89.483999999999995</v>
      </c>
      <c r="AF1738" s="52">
        <f t="shared" si="271"/>
        <v>4.8254610861723599E-2</v>
      </c>
    </row>
    <row r="1739" spans="30:32">
      <c r="AD1739" s="50">
        <v>506.6</v>
      </c>
      <c r="AE1739" s="51">
        <v>89.423000000000002</v>
      </c>
      <c r="AF1739" s="52">
        <f t="shared" si="271"/>
        <v>4.8550764331657031E-2</v>
      </c>
    </row>
    <row r="1740" spans="30:32">
      <c r="AD1740" s="50">
        <v>506.5</v>
      </c>
      <c r="AE1740" s="51">
        <v>89.465000000000003</v>
      </c>
      <c r="AF1740" s="52">
        <f t="shared" si="271"/>
        <v>4.8346833731783397E-2</v>
      </c>
    </row>
    <row r="1741" spans="30:32">
      <c r="AD1741" s="50">
        <v>506.4</v>
      </c>
      <c r="AE1741" s="51">
        <v>89.486000000000004</v>
      </c>
      <c r="AF1741" s="52">
        <f t="shared" si="271"/>
        <v>4.8244904330306676E-2</v>
      </c>
    </row>
    <row r="1742" spans="30:32">
      <c r="AD1742" s="50">
        <v>506.3</v>
      </c>
      <c r="AE1742" s="51">
        <v>89.491</v>
      </c>
      <c r="AF1742" s="52">
        <f t="shared" si="271"/>
        <v>4.8220638950843608E-2</v>
      </c>
    </row>
    <row r="1743" spans="30:32">
      <c r="AD1743" s="50">
        <v>506.2</v>
      </c>
      <c r="AE1743" s="51">
        <v>89.486000000000004</v>
      </c>
      <c r="AF1743" s="52">
        <f t="shared" si="271"/>
        <v>4.8244904330306676E-2</v>
      </c>
    </row>
    <row r="1744" spans="30:32">
      <c r="AD1744" s="50">
        <v>506.1</v>
      </c>
      <c r="AE1744" s="51">
        <v>89.474000000000004</v>
      </c>
      <c r="AF1744" s="52">
        <f t="shared" si="271"/>
        <v>4.8303146773206157E-2</v>
      </c>
    </row>
    <row r="1745" spans="30:32">
      <c r="AD1745" s="50">
        <v>506</v>
      </c>
      <c r="AE1745" s="51">
        <v>89.578000000000003</v>
      </c>
      <c r="AF1745" s="52">
        <f t="shared" si="271"/>
        <v>4.7798638237169178E-2</v>
      </c>
    </row>
    <row r="1746" spans="30:32">
      <c r="AD1746" s="50">
        <v>505.9</v>
      </c>
      <c r="AE1746" s="51">
        <v>89.585999999999999</v>
      </c>
      <c r="AF1746" s="52">
        <f t="shared" si="271"/>
        <v>4.7759854152670804E-2</v>
      </c>
    </row>
    <row r="1747" spans="30:32">
      <c r="AD1747" s="50">
        <v>505.8</v>
      </c>
      <c r="AE1747" s="51">
        <v>89.54</v>
      </c>
      <c r="AF1747" s="52">
        <f t="shared" si="271"/>
        <v>4.7982909952573684E-2</v>
      </c>
    </row>
    <row r="1748" spans="30:32">
      <c r="AD1748" s="50">
        <v>505.7</v>
      </c>
      <c r="AE1748" s="51">
        <v>89.524000000000001</v>
      </c>
      <c r="AF1748" s="52">
        <f t="shared" si="271"/>
        <v>4.8060521440409842E-2</v>
      </c>
    </row>
    <row r="1749" spans="30:32">
      <c r="AD1749" s="50">
        <v>505.6</v>
      </c>
      <c r="AE1749" s="51">
        <v>89.489000000000004</v>
      </c>
      <c r="AF1749" s="52">
        <f t="shared" si="271"/>
        <v>4.8230344939935554E-2</v>
      </c>
    </row>
    <row r="1750" spans="30:32">
      <c r="AD1750" s="50">
        <v>505.5</v>
      </c>
      <c r="AE1750" s="51">
        <v>89.558999999999997</v>
      </c>
      <c r="AF1750" s="52">
        <f t="shared" si="271"/>
        <v>4.7890764321530367E-2</v>
      </c>
    </row>
    <row r="1751" spans="30:32">
      <c r="AD1751" s="50">
        <v>505.4</v>
      </c>
      <c r="AE1751" s="51">
        <v>89.558000000000007</v>
      </c>
      <c r="AF1751" s="52">
        <f t="shared" si="271"/>
        <v>4.7895613604199305E-2</v>
      </c>
    </row>
    <row r="1752" spans="30:32">
      <c r="AD1752" s="50">
        <v>505.3</v>
      </c>
      <c r="AE1752" s="51">
        <v>89.540999999999997</v>
      </c>
      <c r="AF1752" s="52">
        <f t="shared" si="271"/>
        <v>4.7978059695071205E-2</v>
      </c>
    </row>
    <row r="1753" spans="30:32">
      <c r="AD1753" s="50">
        <v>505.2</v>
      </c>
      <c r="AE1753" s="51">
        <v>89.588999999999999</v>
      </c>
      <c r="AF1753" s="52">
        <f t="shared" si="271"/>
        <v>4.7745311013886592E-2</v>
      </c>
    </row>
    <row r="1754" spans="30:32">
      <c r="AD1754" s="50">
        <v>505.1</v>
      </c>
      <c r="AE1754" s="51">
        <v>89.599000000000004</v>
      </c>
      <c r="AF1754" s="52">
        <f t="shared" si="271"/>
        <v>4.7696837401551555E-2</v>
      </c>
    </row>
    <row r="1755" spans="30:32">
      <c r="AD1755" s="50">
        <v>505</v>
      </c>
      <c r="AE1755" s="51">
        <v>89.584000000000003</v>
      </c>
      <c r="AF1755" s="52">
        <f t="shared" si="271"/>
        <v>4.7769549849091396E-2</v>
      </c>
    </row>
    <row r="1756" spans="30:32">
      <c r="AD1756" s="50">
        <v>504.9</v>
      </c>
      <c r="AE1756" s="51">
        <v>89.600999999999999</v>
      </c>
      <c r="AF1756" s="52">
        <f t="shared" si="271"/>
        <v>4.7687143328294428E-2</v>
      </c>
    </row>
    <row r="1757" spans="30:32">
      <c r="AD1757" s="50">
        <v>504.8</v>
      </c>
      <c r="AE1757" s="51">
        <v>89.622</v>
      </c>
      <c r="AF1757" s="52">
        <f t="shared" si="271"/>
        <v>4.7585368621234414E-2</v>
      </c>
    </row>
    <row r="1758" spans="30:32">
      <c r="AD1758" s="50">
        <v>504.7</v>
      </c>
      <c r="AE1758" s="51">
        <v>89.644000000000005</v>
      </c>
      <c r="AF1758" s="52">
        <f t="shared" si="271"/>
        <v>4.7478773074395214E-2</v>
      </c>
    </row>
    <row r="1759" spans="30:32">
      <c r="AD1759" s="50">
        <v>504.6</v>
      </c>
      <c r="AE1759" s="51">
        <v>89.65</v>
      </c>
      <c r="AF1759" s="52">
        <f t="shared" si="271"/>
        <v>4.7449706101798314E-2</v>
      </c>
    </row>
    <row r="1760" spans="30:32">
      <c r="AD1760" s="50">
        <v>504.5</v>
      </c>
      <c r="AE1760" s="51">
        <v>89.603999999999999</v>
      </c>
      <c r="AF1760" s="52">
        <f t="shared" si="271"/>
        <v>4.7672602624119535E-2</v>
      </c>
    </row>
    <row r="1761" spans="30:32">
      <c r="AD1761" s="50">
        <v>504.4</v>
      </c>
      <c r="AE1761" s="51">
        <v>89.57</v>
      </c>
      <c r="AF1761" s="52">
        <f t="shared" si="271"/>
        <v>4.7837425785537444E-2</v>
      </c>
    </row>
    <row r="1762" spans="30:32">
      <c r="AD1762" s="50">
        <v>504.3</v>
      </c>
      <c r="AE1762" s="51">
        <v>89.552000000000007</v>
      </c>
      <c r="AF1762" s="52">
        <f t="shared" si="271"/>
        <v>4.7924710437345329E-2</v>
      </c>
    </row>
    <row r="1763" spans="30:32">
      <c r="AD1763" s="50">
        <v>504.2</v>
      </c>
      <c r="AE1763" s="51">
        <v>89.632000000000005</v>
      </c>
      <c r="AF1763" s="52">
        <f t="shared" si="271"/>
        <v>4.7536912856525816E-2</v>
      </c>
    </row>
    <row r="1764" spans="30:32">
      <c r="AD1764" s="50">
        <v>504.1</v>
      </c>
      <c r="AE1764" s="51">
        <v>89.602999999999994</v>
      </c>
      <c r="AF1764" s="52">
        <f t="shared" si="271"/>
        <v>4.7677449471417978E-2</v>
      </c>
    </row>
    <row r="1765" spans="30:32">
      <c r="AD1765" s="50">
        <v>504</v>
      </c>
      <c r="AE1765" s="51">
        <v>89.638000000000005</v>
      </c>
      <c r="AF1765" s="52">
        <f t="shared" si="271"/>
        <v>4.7507841992550863E-2</v>
      </c>
    </row>
    <row r="1766" spans="30:32">
      <c r="AD1766" s="50">
        <v>503.9</v>
      </c>
      <c r="AE1766" s="51">
        <v>89.659000000000006</v>
      </c>
      <c r="AF1766" s="52">
        <f t="shared" si="271"/>
        <v>4.7406109290256078E-2</v>
      </c>
    </row>
    <row r="1767" spans="30:32">
      <c r="AD1767" s="50">
        <v>503.8</v>
      </c>
      <c r="AE1767" s="51">
        <v>89.619</v>
      </c>
      <c r="AF1767" s="52">
        <f t="shared" si="271"/>
        <v>4.759990640495388E-2</v>
      </c>
    </row>
    <row r="1768" spans="30:32">
      <c r="AD1768" s="50">
        <v>503.7</v>
      </c>
      <c r="AE1768" s="51">
        <v>89.664000000000001</v>
      </c>
      <c r="AF1768" s="52">
        <f t="shared" si="271"/>
        <v>4.738189073033823E-2</v>
      </c>
    </row>
    <row r="1769" spans="30:32">
      <c r="AD1769" s="50">
        <v>503.6</v>
      </c>
      <c r="AE1769" s="51">
        <v>89.653999999999996</v>
      </c>
      <c r="AF1769" s="52">
        <f t="shared" si="271"/>
        <v>4.7430329200804491E-2</v>
      </c>
    </row>
    <row r="1770" spans="30:32">
      <c r="AD1770" s="50">
        <v>503.5</v>
      </c>
      <c r="AE1770" s="51">
        <v>89.682000000000002</v>
      </c>
      <c r="AF1770" s="52">
        <f t="shared" si="271"/>
        <v>4.7294715095526088E-2</v>
      </c>
    </row>
    <row r="1771" spans="30:32">
      <c r="AD1771" s="50">
        <v>503.4</v>
      </c>
      <c r="AE1771" s="51">
        <v>89.641999999999996</v>
      </c>
      <c r="AF1771" s="52">
        <f t="shared" si="271"/>
        <v>4.7488462497594391E-2</v>
      </c>
    </row>
    <row r="1772" spans="30:32">
      <c r="AD1772" s="50">
        <v>503.3</v>
      </c>
      <c r="AE1772" s="51">
        <v>89.623999999999995</v>
      </c>
      <c r="AF1772" s="52">
        <f t="shared" si="271"/>
        <v>4.7575677035772659E-2</v>
      </c>
    </row>
    <row r="1773" spans="30:32">
      <c r="AD1773" s="50">
        <v>503.2</v>
      </c>
      <c r="AE1773" s="51">
        <v>89.611999999999995</v>
      </c>
      <c r="AF1773" s="52">
        <f t="shared" si="271"/>
        <v>4.763382979292665E-2</v>
      </c>
    </row>
    <row r="1774" spans="30:32">
      <c r="AD1774" s="50">
        <v>503.1</v>
      </c>
      <c r="AE1774" s="51">
        <v>89.623999999999995</v>
      </c>
      <c r="AF1774" s="52">
        <f t="shared" si="271"/>
        <v>4.7575677035772659E-2</v>
      </c>
    </row>
    <row r="1775" spans="30:32">
      <c r="AD1775" s="50">
        <v>503</v>
      </c>
      <c r="AE1775" s="51">
        <v>89.611999999999995</v>
      </c>
      <c r="AF1775" s="52">
        <f t="shared" si="271"/>
        <v>4.763382979292665E-2</v>
      </c>
    </row>
    <row r="1776" spans="30:32">
      <c r="AD1776" s="50">
        <v>502.9</v>
      </c>
      <c r="AE1776" s="51">
        <v>89.658000000000001</v>
      </c>
      <c r="AF1776" s="52">
        <f t="shared" si="271"/>
        <v>4.7410953164310522E-2</v>
      </c>
    </row>
    <row r="1777" spans="30:32">
      <c r="AD1777" s="50">
        <v>502.8</v>
      </c>
      <c r="AE1777" s="51">
        <v>89.688999999999993</v>
      </c>
      <c r="AF1777" s="52">
        <f t="shared" si="271"/>
        <v>4.7260818184934494E-2</v>
      </c>
    </row>
    <row r="1778" spans="30:32">
      <c r="AD1778" s="50">
        <v>502.7</v>
      </c>
      <c r="AE1778" s="51">
        <v>89.694999999999993</v>
      </c>
      <c r="AF1778" s="52">
        <f t="shared" si="271"/>
        <v>4.7231765795731573E-2</v>
      </c>
    </row>
    <row r="1779" spans="30:32">
      <c r="AD1779" s="50">
        <v>502.6</v>
      </c>
      <c r="AE1779" s="51">
        <v>89.671000000000006</v>
      </c>
      <c r="AF1779" s="52">
        <f t="shared" si="271"/>
        <v>4.7347987015225489E-2</v>
      </c>
    </row>
    <row r="1780" spans="30:32">
      <c r="AD1780" s="50">
        <v>502.5</v>
      </c>
      <c r="AE1780" s="51">
        <v>89.614000000000004</v>
      </c>
      <c r="AF1780" s="52">
        <f t="shared" si="271"/>
        <v>4.7624137125971543E-2</v>
      </c>
    </row>
    <row r="1781" spans="30:32">
      <c r="AD1781" s="50">
        <v>502.4</v>
      </c>
      <c r="AE1781" s="51">
        <v>89.686999999999998</v>
      </c>
      <c r="AF1781" s="52">
        <f t="shared" si="271"/>
        <v>4.7270502746568646E-2</v>
      </c>
    </row>
    <row r="1782" spans="30:32">
      <c r="AD1782" s="50">
        <v>502.3</v>
      </c>
      <c r="AE1782" s="51">
        <v>89.676000000000002</v>
      </c>
      <c r="AF1782" s="52">
        <f t="shared" si="271"/>
        <v>4.7323771696206225E-2</v>
      </c>
    </row>
    <row r="1783" spans="30:32">
      <c r="AD1783" s="50">
        <v>502.2</v>
      </c>
      <c r="AE1783" s="51">
        <v>89.68</v>
      </c>
      <c r="AF1783" s="52">
        <f t="shared" si="271"/>
        <v>4.7304400413083245E-2</v>
      </c>
    </row>
    <row r="1784" spans="30:32">
      <c r="AD1784" s="50">
        <v>502.1</v>
      </c>
      <c r="AE1784" s="51">
        <v>89.616</v>
      </c>
      <c r="AF1784" s="52">
        <f t="shared" si="271"/>
        <v>4.7614444675334495E-2</v>
      </c>
    </row>
    <row r="1785" spans="30:32">
      <c r="AD1785" s="50">
        <v>502</v>
      </c>
      <c r="AE1785" s="51">
        <v>89.606999999999999</v>
      </c>
      <c r="AF1785" s="52">
        <f t="shared" si="271"/>
        <v>4.7658062406768648E-2</v>
      </c>
    </row>
    <row r="1786" spans="30:32">
      <c r="AD1786" s="50">
        <v>501.9</v>
      </c>
      <c r="AE1786" s="51">
        <v>89.611999999999995</v>
      </c>
      <c r="AF1786" s="52">
        <f t="shared" si="271"/>
        <v>4.763382979292665E-2</v>
      </c>
    </row>
    <row r="1787" spans="30:32">
      <c r="AD1787" s="50">
        <v>501.8</v>
      </c>
      <c r="AE1787" s="51">
        <v>89.638999999999996</v>
      </c>
      <c r="AF1787" s="52">
        <f t="shared" si="271"/>
        <v>4.7502997037739025E-2</v>
      </c>
    </row>
    <row r="1788" spans="30:32">
      <c r="AD1788" s="50">
        <v>501.7</v>
      </c>
      <c r="AE1788" s="51">
        <v>89.652000000000001</v>
      </c>
      <c r="AF1788" s="52">
        <f t="shared" si="271"/>
        <v>4.7440017543234118E-2</v>
      </c>
    </row>
    <row r="1789" spans="30:32">
      <c r="AD1789" s="50">
        <v>501.6</v>
      </c>
      <c r="AE1789" s="51">
        <v>89.626000000000005</v>
      </c>
      <c r="AF1789" s="52">
        <f t="shared" si="271"/>
        <v>4.756598566658049E-2</v>
      </c>
    </row>
    <row r="1790" spans="30:32">
      <c r="AD1790" s="50">
        <v>501.5</v>
      </c>
      <c r="AE1790" s="51">
        <v>89.649000000000001</v>
      </c>
      <c r="AF1790" s="52">
        <f t="shared" si="271"/>
        <v>4.7454550462133961E-2</v>
      </c>
    </row>
    <row r="1791" spans="30:32">
      <c r="AD1791" s="50">
        <v>501.4</v>
      </c>
      <c r="AE1791" s="51">
        <v>89.62</v>
      </c>
      <c r="AF1791" s="52">
        <f t="shared" si="271"/>
        <v>4.7595060422975559E-2</v>
      </c>
    </row>
    <row r="1792" spans="30:32">
      <c r="AD1792" s="50">
        <v>501.3</v>
      </c>
      <c r="AE1792" s="51">
        <v>89.628</v>
      </c>
      <c r="AF1792" s="52">
        <f t="shared" si="271"/>
        <v>4.7556294513648463E-2</v>
      </c>
    </row>
    <row r="1793" spans="30:32">
      <c r="AD1793" s="50">
        <v>501.2</v>
      </c>
      <c r="AE1793" s="51">
        <v>89.614999999999995</v>
      </c>
      <c r="AF1793" s="52">
        <f t="shared" si="271"/>
        <v>4.7619290873613877E-2</v>
      </c>
    </row>
    <row r="1794" spans="30:32">
      <c r="AD1794" s="50">
        <v>501.1</v>
      </c>
      <c r="AE1794" s="51">
        <v>89.686000000000007</v>
      </c>
      <c r="AF1794" s="52">
        <f t="shared" si="271"/>
        <v>4.7275345108372273E-2</v>
      </c>
    </row>
    <row r="1795" spans="30:32">
      <c r="AD1795" s="50">
        <v>501</v>
      </c>
      <c r="AE1795" s="51">
        <v>89.662999999999997</v>
      </c>
      <c r="AF1795" s="52">
        <f t="shared" si="271"/>
        <v>4.7386734334278639E-2</v>
      </c>
    </row>
    <row r="1796" spans="30:32">
      <c r="AD1796" s="50">
        <v>500.9</v>
      </c>
      <c r="AE1796" s="51">
        <v>89.647999999999996</v>
      </c>
      <c r="AF1796" s="52">
        <f t="shared" si="271"/>
        <v>4.7459394876506876E-2</v>
      </c>
    </row>
    <row r="1797" spans="30:32">
      <c r="AD1797" s="50">
        <v>500.8</v>
      </c>
      <c r="AE1797" s="51">
        <v>89.649000000000001</v>
      </c>
      <c r="AF1797" s="52">
        <f t="shared" ref="AF1797:AF1860" si="272">-LOG(AE1797/100)</f>
        <v>4.7454550462133961E-2</v>
      </c>
    </row>
    <row r="1798" spans="30:32">
      <c r="AD1798" s="50">
        <v>500.7</v>
      </c>
      <c r="AE1798" s="51">
        <v>89.61</v>
      </c>
      <c r="AF1798" s="52">
        <f t="shared" si="272"/>
        <v>4.764352267620927E-2</v>
      </c>
    </row>
    <row r="1799" spans="30:32">
      <c r="AD1799" s="50">
        <v>500.6</v>
      </c>
      <c r="AE1799" s="51">
        <v>89.66</v>
      </c>
      <c r="AF1799" s="52">
        <f t="shared" si="272"/>
        <v>4.740126547022696E-2</v>
      </c>
    </row>
    <row r="1800" spans="30:32">
      <c r="AD1800" s="50">
        <v>500.5</v>
      </c>
      <c r="AE1800" s="51">
        <v>89.668999999999997</v>
      </c>
      <c r="AF1800" s="52">
        <f t="shared" si="272"/>
        <v>4.7357673520900159E-2</v>
      </c>
    </row>
    <row r="1801" spans="30:32">
      <c r="AD1801" s="50">
        <v>500.4</v>
      </c>
      <c r="AE1801" s="51">
        <v>89.63</v>
      </c>
      <c r="AF1801" s="52">
        <f t="shared" si="272"/>
        <v>4.7546603576966773E-2</v>
      </c>
    </row>
    <row r="1802" spans="30:32">
      <c r="AD1802" s="50">
        <v>500.3</v>
      </c>
      <c r="AE1802" s="51">
        <v>89.575000000000003</v>
      </c>
      <c r="AF1802" s="52">
        <f t="shared" si="272"/>
        <v>4.7813183161851777E-2</v>
      </c>
    </row>
    <row r="1803" spans="30:32">
      <c r="AD1803" s="50">
        <v>500.2</v>
      </c>
      <c r="AE1803" s="51">
        <v>89.543000000000006</v>
      </c>
      <c r="AF1803" s="52">
        <f t="shared" si="272"/>
        <v>4.7968359342567927E-2</v>
      </c>
    </row>
    <row r="1804" spans="30:32">
      <c r="AD1804" s="50">
        <v>500.1</v>
      </c>
      <c r="AE1804" s="51">
        <v>89.555999999999997</v>
      </c>
      <c r="AF1804" s="52">
        <f t="shared" si="272"/>
        <v>4.7905312331979859E-2</v>
      </c>
    </row>
    <row r="1805" spans="30:32">
      <c r="AD1805" s="50">
        <v>500</v>
      </c>
      <c r="AE1805" s="51">
        <v>89.611999999999995</v>
      </c>
      <c r="AF1805" s="52">
        <f t="shared" si="272"/>
        <v>4.763382979292665E-2</v>
      </c>
    </row>
    <row r="1806" spans="30:32">
      <c r="AD1806" s="50">
        <v>499.9</v>
      </c>
      <c r="AE1806" s="51">
        <v>89.653999999999996</v>
      </c>
      <c r="AF1806" s="52">
        <f t="shared" si="272"/>
        <v>4.7430329200804491E-2</v>
      </c>
    </row>
    <row r="1807" spans="30:32">
      <c r="AD1807" s="50">
        <v>499.8</v>
      </c>
      <c r="AE1807" s="51">
        <v>89.594999999999999</v>
      </c>
      <c r="AF1807" s="52">
        <f t="shared" si="272"/>
        <v>4.7716226197246761E-2</v>
      </c>
    </row>
    <row r="1808" spans="30:32">
      <c r="AD1808" s="50">
        <v>499.7</v>
      </c>
      <c r="AE1808" s="51">
        <v>89.552999999999997</v>
      </c>
      <c r="AF1808" s="52">
        <f t="shared" si="272"/>
        <v>4.7919860829775451E-2</v>
      </c>
    </row>
    <row r="1809" spans="30:32">
      <c r="AD1809" s="50">
        <v>499.6</v>
      </c>
      <c r="AE1809" s="51">
        <v>89.566999999999993</v>
      </c>
      <c r="AF1809" s="52">
        <f t="shared" si="272"/>
        <v>4.7851972009330751E-2</v>
      </c>
    </row>
    <row r="1810" spans="30:32">
      <c r="AD1810" s="50">
        <v>499.5</v>
      </c>
      <c r="AE1810" s="51">
        <v>89.498999999999995</v>
      </c>
      <c r="AF1810" s="52">
        <f t="shared" si="272"/>
        <v>4.8181817163508694E-2</v>
      </c>
    </row>
    <row r="1811" spans="30:32">
      <c r="AD1811" s="50">
        <v>499.4</v>
      </c>
      <c r="AE1811" s="51">
        <v>89.49</v>
      </c>
      <c r="AF1811" s="52">
        <f t="shared" si="272"/>
        <v>4.8225491918274903E-2</v>
      </c>
    </row>
    <row r="1812" spans="30:32">
      <c r="AD1812" s="50">
        <v>499.3</v>
      </c>
      <c r="AE1812" s="51">
        <v>89.49</v>
      </c>
      <c r="AF1812" s="52">
        <f t="shared" si="272"/>
        <v>4.8225491918274903E-2</v>
      </c>
    </row>
    <row r="1813" spans="30:32">
      <c r="AD1813" s="50">
        <v>499.2</v>
      </c>
      <c r="AE1813" s="51">
        <v>89.478999999999999</v>
      </c>
      <c r="AF1813" s="52">
        <f t="shared" si="272"/>
        <v>4.8278878139429951E-2</v>
      </c>
    </row>
    <row r="1814" spans="30:32">
      <c r="AD1814" s="50">
        <v>499.1</v>
      </c>
      <c r="AE1814" s="51">
        <v>89.460999999999999</v>
      </c>
      <c r="AF1814" s="52">
        <f t="shared" si="272"/>
        <v>4.83662515685193E-2</v>
      </c>
    </row>
    <row r="1815" spans="30:32">
      <c r="AD1815" s="50">
        <v>499</v>
      </c>
      <c r="AE1815" s="51">
        <v>89.421000000000006</v>
      </c>
      <c r="AF1815" s="52">
        <f t="shared" si="272"/>
        <v>4.85604777015642E-2</v>
      </c>
    </row>
    <row r="1816" spans="30:32">
      <c r="AD1816" s="50">
        <v>498.9</v>
      </c>
      <c r="AE1816" s="51">
        <v>89.385000000000005</v>
      </c>
      <c r="AF1816" s="52">
        <f t="shared" si="272"/>
        <v>4.8735355519531974E-2</v>
      </c>
    </row>
    <row r="1817" spans="30:32">
      <c r="AD1817" s="50">
        <v>498.8</v>
      </c>
      <c r="AE1817" s="51">
        <v>89.409000000000006</v>
      </c>
      <c r="AF1817" s="52">
        <f t="shared" si="272"/>
        <v>4.8618762483655147E-2</v>
      </c>
    </row>
    <row r="1818" spans="30:32">
      <c r="AD1818" s="50">
        <v>498.7</v>
      </c>
      <c r="AE1818" s="51">
        <v>89.414000000000001</v>
      </c>
      <c r="AF1818" s="52">
        <f t="shared" si="272"/>
        <v>4.8594476207168544E-2</v>
      </c>
    </row>
    <row r="1819" spans="30:32">
      <c r="AD1819" s="50">
        <v>498.6</v>
      </c>
      <c r="AE1819" s="51">
        <v>89.399000000000001</v>
      </c>
      <c r="AF1819" s="52">
        <f t="shared" si="272"/>
        <v>4.8667339111362631E-2</v>
      </c>
    </row>
    <row r="1820" spans="30:32">
      <c r="AD1820" s="50">
        <v>498.5</v>
      </c>
      <c r="AE1820" s="51">
        <v>89.379000000000005</v>
      </c>
      <c r="AF1820" s="52">
        <f t="shared" si="272"/>
        <v>4.8764508669969377E-2</v>
      </c>
    </row>
    <row r="1821" spans="30:32">
      <c r="AD1821" s="50">
        <v>498.4</v>
      </c>
      <c r="AE1821" s="51">
        <v>89.328999999999994</v>
      </c>
      <c r="AF1821" s="52">
        <f t="shared" si="272"/>
        <v>4.9007527725207882E-2</v>
      </c>
    </row>
    <row r="1822" spans="30:32">
      <c r="AD1822" s="50">
        <v>498.3</v>
      </c>
      <c r="AE1822" s="51">
        <v>89.308999999999997</v>
      </c>
      <c r="AF1822" s="52">
        <f t="shared" si="272"/>
        <v>4.9104773436359543E-2</v>
      </c>
    </row>
    <row r="1823" spans="30:32">
      <c r="AD1823" s="50">
        <v>498.2</v>
      </c>
      <c r="AE1823" s="51">
        <v>89.281000000000006</v>
      </c>
      <c r="AF1823" s="52">
        <f t="shared" si="272"/>
        <v>4.924095402421913E-2</v>
      </c>
    </row>
    <row r="1824" spans="30:32">
      <c r="AD1824" s="50">
        <v>498.1</v>
      </c>
      <c r="AE1824" s="51">
        <v>89.254999999999995</v>
      </c>
      <c r="AF1824" s="52">
        <f t="shared" si="272"/>
        <v>4.9367445674186806E-2</v>
      </c>
    </row>
    <row r="1825" spans="30:32">
      <c r="AD1825" s="50">
        <v>498</v>
      </c>
      <c r="AE1825" s="51">
        <v>89.213999999999999</v>
      </c>
      <c r="AF1825" s="52">
        <f t="shared" si="272"/>
        <v>4.956698816135581E-2</v>
      </c>
    </row>
    <row r="1826" spans="30:32">
      <c r="AD1826" s="50">
        <v>497.9</v>
      </c>
      <c r="AE1826" s="51">
        <v>89.224999999999994</v>
      </c>
      <c r="AF1826" s="52">
        <f t="shared" si="272"/>
        <v>4.9513443372301964E-2</v>
      </c>
    </row>
    <row r="1827" spans="30:32">
      <c r="AD1827" s="50">
        <v>497.8</v>
      </c>
      <c r="AE1827" s="51">
        <v>89.203000000000003</v>
      </c>
      <c r="AF1827" s="52">
        <f t="shared" si="272"/>
        <v>4.9620539552837413E-2</v>
      </c>
    </row>
    <row r="1828" spans="30:32">
      <c r="AD1828" s="50">
        <v>497.7</v>
      </c>
      <c r="AE1828" s="51">
        <v>89.159000000000006</v>
      </c>
      <c r="AF1828" s="52">
        <f t="shared" si="272"/>
        <v>4.9834811175619921E-2</v>
      </c>
    </row>
    <row r="1829" spans="30:32">
      <c r="AD1829" s="50">
        <v>497.6</v>
      </c>
      <c r="AE1829" s="51">
        <v>89.150999999999996</v>
      </c>
      <c r="AF1829" s="52">
        <f t="shared" si="272"/>
        <v>4.9873781013066679E-2</v>
      </c>
    </row>
    <row r="1830" spans="30:32">
      <c r="AD1830" s="50">
        <v>497.5</v>
      </c>
      <c r="AE1830" s="51">
        <v>89.093000000000004</v>
      </c>
      <c r="AF1830" s="52">
        <f t="shared" si="272"/>
        <v>5.0156416959739963E-2</v>
      </c>
    </row>
    <row r="1831" spans="30:32">
      <c r="AD1831" s="50">
        <v>497.4</v>
      </c>
      <c r="AE1831" s="51">
        <v>89.069000000000003</v>
      </c>
      <c r="AF1831" s="52">
        <f t="shared" si="272"/>
        <v>5.0273423589983518E-2</v>
      </c>
    </row>
    <row r="1832" spans="30:32">
      <c r="AD1832" s="50">
        <v>497.3</v>
      </c>
      <c r="AE1832" s="51">
        <v>89.048000000000002</v>
      </c>
      <c r="AF1832" s="52">
        <f t="shared" si="272"/>
        <v>5.0375830257086869E-2</v>
      </c>
    </row>
    <row r="1833" spans="30:32">
      <c r="AD1833" s="50">
        <v>497.2</v>
      </c>
      <c r="AE1833" s="51">
        <v>89.052000000000007</v>
      </c>
      <c r="AF1833" s="52">
        <f t="shared" si="272"/>
        <v>5.0356322363455122E-2</v>
      </c>
    </row>
    <row r="1834" spans="30:32">
      <c r="AD1834" s="50">
        <v>497.1</v>
      </c>
      <c r="AE1834" s="51">
        <v>88.945999999999998</v>
      </c>
      <c r="AF1834" s="52">
        <f t="shared" si="272"/>
        <v>5.0873577844119479E-2</v>
      </c>
    </row>
    <row r="1835" spans="30:32">
      <c r="AD1835" s="50">
        <v>497</v>
      </c>
      <c r="AE1835" s="51">
        <v>88.881</v>
      </c>
      <c r="AF1835" s="52">
        <f t="shared" si="272"/>
        <v>5.1191067793125225E-2</v>
      </c>
    </row>
    <row r="1836" spans="30:32">
      <c r="AD1836" s="50">
        <v>496.9</v>
      </c>
      <c r="AE1836" s="51">
        <v>88.831000000000003</v>
      </c>
      <c r="AF1836" s="52">
        <f t="shared" si="272"/>
        <v>5.1435448866639005E-2</v>
      </c>
    </row>
    <row r="1837" spans="30:32">
      <c r="AD1837" s="50">
        <v>496.8</v>
      </c>
      <c r="AE1837" s="51">
        <v>88.792000000000002</v>
      </c>
      <c r="AF1837" s="52">
        <f t="shared" si="272"/>
        <v>5.1626161612920829E-2</v>
      </c>
    </row>
    <row r="1838" spans="30:32">
      <c r="AD1838" s="50">
        <v>496.7</v>
      </c>
      <c r="AE1838" s="51">
        <v>88.81</v>
      </c>
      <c r="AF1838" s="52">
        <f t="shared" si="272"/>
        <v>5.1538129938716454E-2</v>
      </c>
    </row>
    <row r="1839" spans="30:32">
      <c r="AD1839" s="50">
        <v>496.6</v>
      </c>
      <c r="AE1839" s="51">
        <v>88.683999999999997</v>
      </c>
      <c r="AF1839" s="52">
        <f t="shared" si="272"/>
        <v>5.2154726712824395E-2</v>
      </c>
    </row>
    <row r="1840" spans="30:32">
      <c r="AD1840" s="50">
        <v>496.5</v>
      </c>
      <c r="AE1840" s="51">
        <v>88.662000000000006</v>
      </c>
      <c r="AF1840" s="52">
        <f t="shared" si="272"/>
        <v>5.2262476294443118E-2</v>
      </c>
    </row>
    <row r="1841" spans="30:32">
      <c r="AD1841" s="50">
        <v>496.4</v>
      </c>
      <c r="AE1841" s="51">
        <v>88.537000000000006</v>
      </c>
      <c r="AF1841" s="52">
        <f t="shared" si="272"/>
        <v>5.2875197802382048E-2</v>
      </c>
    </row>
    <row r="1842" spans="30:32">
      <c r="AD1842" s="50">
        <v>496.3</v>
      </c>
      <c r="AE1842" s="51">
        <v>88.43</v>
      </c>
      <c r="AF1842" s="52">
        <f t="shared" si="272"/>
        <v>5.3400374984867278E-2</v>
      </c>
    </row>
    <row r="1843" spans="30:32">
      <c r="AD1843" s="50">
        <v>496.2</v>
      </c>
      <c r="AE1843" s="51">
        <v>88.331000000000003</v>
      </c>
      <c r="AF1843" s="52">
        <f t="shared" si="272"/>
        <v>5.3886852864083942E-2</v>
      </c>
    </row>
    <row r="1844" spans="30:32">
      <c r="AD1844" s="50">
        <v>496.1</v>
      </c>
      <c r="AE1844" s="51">
        <v>88.284000000000006</v>
      </c>
      <c r="AF1844" s="52">
        <f t="shared" si="272"/>
        <v>5.4117997909876085E-2</v>
      </c>
    </row>
    <row r="1845" spans="30:32">
      <c r="AD1845" s="50">
        <v>496</v>
      </c>
      <c r="AE1845" s="51">
        <v>88.23</v>
      </c>
      <c r="AF1845" s="52">
        <f t="shared" si="272"/>
        <v>5.4383720773268175E-2</v>
      </c>
    </row>
    <row r="1846" spans="30:32">
      <c r="AD1846" s="50">
        <v>495.9</v>
      </c>
      <c r="AE1846" s="51">
        <v>88.203000000000003</v>
      </c>
      <c r="AF1846" s="52">
        <f t="shared" si="272"/>
        <v>5.4516643198244556E-2</v>
      </c>
    </row>
    <row r="1847" spans="30:32">
      <c r="AD1847" s="50">
        <v>495.8</v>
      </c>
      <c r="AE1847" s="51">
        <v>88.078999999999994</v>
      </c>
      <c r="AF1847" s="52">
        <f t="shared" si="272"/>
        <v>5.5127624746423444E-2</v>
      </c>
    </row>
    <row r="1848" spans="30:32">
      <c r="AD1848" s="50">
        <v>495.7</v>
      </c>
      <c r="AE1848" s="51">
        <v>87.95</v>
      </c>
      <c r="AF1848" s="52">
        <f t="shared" si="272"/>
        <v>5.5764156206519908E-2</v>
      </c>
    </row>
    <row r="1849" spans="30:32">
      <c r="AD1849" s="50">
        <v>495.6</v>
      </c>
      <c r="AE1849" s="51">
        <v>87.834999999999994</v>
      </c>
      <c r="AF1849" s="52">
        <f t="shared" si="272"/>
        <v>5.6332394367273241E-2</v>
      </c>
    </row>
    <row r="1850" spans="30:32">
      <c r="AD1850" s="50">
        <v>495.5</v>
      </c>
      <c r="AE1850" s="51">
        <v>87.751999999999995</v>
      </c>
      <c r="AF1850" s="52">
        <f t="shared" si="272"/>
        <v>5.6742976525209467E-2</v>
      </c>
    </row>
    <row r="1851" spans="30:32">
      <c r="AD1851" s="50">
        <v>495.4</v>
      </c>
      <c r="AE1851" s="51">
        <v>87.664000000000001</v>
      </c>
      <c r="AF1851" s="52">
        <f t="shared" si="272"/>
        <v>5.7178716909365462E-2</v>
      </c>
    </row>
    <row r="1852" spans="30:32">
      <c r="AD1852" s="50">
        <v>495.3</v>
      </c>
      <c r="AE1852" s="51">
        <v>87.56</v>
      </c>
      <c r="AF1852" s="52">
        <f t="shared" si="272"/>
        <v>5.7694247104105895E-2</v>
      </c>
    </row>
    <row r="1853" spans="30:32">
      <c r="AD1853" s="50">
        <v>495.2</v>
      </c>
      <c r="AE1853" s="51">
        <v>87.448999999999998</v>
      </c>
      <c r="AF1853" s="52">
        <f t="shared" si="272"/>
        <v>5.8245152417037371E-2</v>
      </c>
    </row>
    <row r="1854" spans="30:32">
      <c r="AD1854" s="50">
        <v>495.1</v>
      </c>
      <c r="AE1854" s="51">
        <v>87.307000000000002</v>
      </c>
      <c r="AF1854" s="52">
        <f t="shared" si="272"/>
        <v>5.8950934536139345E-2</v>
      </c>
    </row>
    <row r="1855" spans="30:32">
      <c r="AD1855" s="50">
        <v>495</v>
      </c>
      <c r="AE1855" s="51">
        <v>87.16</v>
      </c>
      <c r="AF1855" s="52">
        <f t="shared" si="272"/>
        <v>5.968277842578202E-2</v>
      </c>
    </row>
    <row r="1856" spans="30:32">
      <c r="AD1856" s="50">
        <v>494.9</v>
      </c>
      <c r="AE1856" s="51">
        <v>87.037999999999997</v>
      </c>
      <c r="AF1856" s="52">
        <f t="shared" si="272"/>
        <v>6.0291096953606196E-2</v>
      </c>
    </row>
    <row r="1857" spans="30:32">
      <c r="AD1857" s="50">
        <v>494.8</v>
      </c>
      <c r="AE1857" s="51">
        <v>86.927000000000007</v>
      </c>
      <c r="AF1857" s="52">
        <f t="shared" si="272"/>
        <v>6.0845308364329283E-2</v>
      </c>
    </row>
    <row r="1858" spans="30:32">
      <c r="AD1858" s="50">
        <v>494.7</v>
      </c>
      <c r="AE1858" s="51">
        <v>86.847999999999999</v>
      </c>
      <c r="AF1858" s="52">
        <f t="shared" si="272"/>
        <v>6.1240178356375748E-2</v>
      </c>
    </row>
    <row r="1859" spans="30:32">
      <c r="AD1859" s="50">
        <v>494.6</v>
      </c>
      <c r="AE1859" s="51">
        <v>86.744</v>
      </c>
      <c r="AF1859" s="52">
        <f t="shared" si="272"/>
        <v>6.1760555234593589E-2</v>
      </c>
    </row>
    <row r="1860" spans="30:32">
      <c r="AD1860" s="50">
        <v>494.5</v>
      </c>
      <c r="AE1860" s="51">
        <v>86.643000000000001</v>
      </c>
      <c r="AF1860" s="52">
        <f t="shared" si="272"/>
        <v>6.2266518745508613E-2</v>
      </c>
    </row>
    <row r="1861" spans="30:32">
      <c r="AD1861" s="50">
        <v>494.4</v>
      </c>
      <c r="AE1861" s="51">
        <v>86.486999999999995</v>
      </c>
      <c r="AF1861" s="52">
        <f t="shared" ref="AF1861:AF1924" si="273">-LOG(AE1861/100)</f>
        <v>6.3049167131258022E-2</v>
      </c>
    </row>
    <row r="1862" spans="30:32">
      <c r="AD1862" s="50">
        <v>494.3</v>
      </c>
      <c r="AE1862" s="51">
        <v>86.364000000000004</v>
      </c>
      <c r="AF1862" s="52">
        <f t="shared" si="273"/>
        <v>6.3667251264882069E-2</v>
      </c>
    </row>
    <row r="1863" spans="30:32">
      <c r="AD1863" s="50">
        <v>494.2</v>
      </c>
      <c r="AE1863" s="51">
        <v>86.236999999999995</v>
      </c>
      <c r="AF1863" s="52">
        <f t="shared" si="273"/>
        <v>6.4306360066748697E-2</v>
      </c>
    </row>
    <row r="1864" spans="30:32">
      <c r="AD1864" s="50">
        <v>494.1</v>
      </c>
      <c r="AE1864" s="51">
        <v>86.122</v>
      </c>
      <c r="AF1864" s="52">
        <f t="shared" si="273"/>
        <v>6.4885893167196923E-2</v>
      </c>
    </row>
    <row r="1865" spans="30:32">
      <c r="AD1865" s="50">
        <v>494</v>
      </c>
      <c r="AE1865" s="51">
        <v>86.01</v>
      </c>
      <c r="AF1865" s="52">
        <f t="shared" si="273"/>
        <v>6.5451052333853024E-2</v>
      </c>
    </row>
    <row r="1866" spans="30:32">
      <c r="AD1866" s="50">
        <v>493.9</v>
      </c>
      <c r="AE1866" s="51">
        <v>85.852999999999994</v>
      </c>
      <c r="AF1866" s="52">
        <f t="shared" si="273"/>
        <v>6.6244524490463419E-2</v>
      </c>
    </row>
    <row r="1867" spans="30:32">
      <c r="AD1867" s="50">
        <v>493.8</v>
      </c>
      <c r="AE1867" s="51">
        <v>85.72</v>
      </c>
      <c r="AF1867" s="52">
        <f t="shared" si="273"/>
        <v>6.6917837630208962E-2</v>
      </c>
    </row>
    <row r="1868" spans="30:32">
      <c r="AD1868" s="50">
        <v>493.7</v>
      </c>
      <c r="AE1868" s="51">
        <v>85.498999999999995</v>
      </c>
      <c r="AF1868" s="52">
        <f t="shared" si="273"/>
        <v>6.8038964769156718E-2</v>
      </c>
    </row>
    <row r="1869" spans="30:32">
      <c r="AD1869" s="50">
        <v>493.6</v>
      </c>
      <c r="AE1869" s="51">
        <v>85.325000000000003</v>
      </c>
      <c r="AF1869" s="52">
        <f t="shared" si="273"/>
        <v>6.8923703049323506E-2</v>
      </c>
    </row>
    <row r="1870" spans="30:32">
      <c r="AD1870" s="50">
        <v>493.5</v>
      </c>
      <c r="AE1870" s="51">
        <v>85.16</v>
      </c>
      <c r="AF1870" s="52">
        <f t="shared" si="273"/>
        <v>6.9764347233715093E-2</v>
      </c>
    </row>
    <row r="1871" spans="30:32">
      <c r="AD1871" s="50">
        <v>493.4</v>
      </c>
      <c r="AE1871" s="51">
        <v>84.986999999999995</v>
      </c>
      <c r="AF1871" s="52">
        <f t="shared" si="273"/>
        <v>7.0647500874514102E-2</v>
      </c>
    </row>
    <row r="1872" spans="30:32">
      <c r="AD1872" s="50">
        <v>493.3</v>
      </c>
      <c r="AE1872" s="51">
        <v>84.814999999999998</v>
      </c>
      <c r="AF1872" s="52">
        <f t="shared" si="273"/>
        <v>7.152733357890767E-2</v>
      </c>
    </row>
    <row r="1873" spans="30:32">
      <c r="AD1873" s="50">
        <v>493.2</v>
      </c>
      <c r="AE1873" s="51">
        <v>84.608000000000004</v>
      </c>
      <c r="AF1873" s="52">
        <f t="shared" si="273"/>
        <v>7.258857086649137E-2</v>
      </c>
    </row>
    <row r="1874" spans="30:32">
      <c r="AD1874" s="50">
        <v>493.1</v>
      </c>
      <c r="AE1874" s="51">
        <v>84.41</v>
      </c>
      <c r="AF1874" s="52">
        <f t="shared" si="273"/>
        <v>7.3606099730317801E-2</v>
      </c>
    </row>
    <row r="1875" spans="30:32">
      <c r="AD1875" s="50">
        <v>493</v>
      </c>
      <c r="AE1875" s="51">
        <v>84.162000000000006</v>
      </c>
      <c r="AF1875" s="52">
        <f t="shared" si="273"/>
        <v>7.4883952626608907E-2</v>
      </c>
    </row>
    <row r="1876" spans="30:32">
      <c r="AD1876" s="50">
        <v>492.9</v>
      </c>
      <c r="AE1876" s="51">
        <v>83.918999999999997</v>
      </c>
      <c r="AF1876" s="52">
        <f t="shared" si="273"/>
        <v>7.6139699946403641E-2</v>
      </c>
    </row>
    <row r="1877" spans="30:32">
      <c r="AD1877" s="50">
        <v>492.8</v>
      </c>
      <c r="AE1877" s="51">
        <v>83.647000000000006</v>
      </c>
      <c r="AF1877" s="52">
        <f t="shared" si="273"/>
        <v>7.7549630395661859E-2</v>
      </c>
    </row>
    <row r="1878" spans="30:32">
      <c r="AD1878" s="50">
        <v>492.7</v>
      </c>
      <c r="AE1878" s="51">
        <v>83.459000000000003</v>
      </c>
      <c r="AF1878" s="52">
        <f t="shared" si="273"/>
        <v>7.8526823279758476E-2</v>
      </c>
    </row>
    <row r="1879" spans="30:32">
      <c r="AD1879" s="50">
        <v>492.6</v>
      </c>
      <c r="AE1879" s="51">
        <v>83.2</v>
      </c>
      <c r="AF1879" s="52">
        <f t="shared" si="273"/>
        <v>7.9876673709276022E-2</v>
      </c>
    </row>
    <row r="1880" spans="30:32">
      <c r="AD1880" s="50">
        <v>492.5</v>
      </c>
      <c r="AE1880" s="51">
        <v>82.957999999999998</v>
      </c>
      <c r="AF1880" s="52">
        <f t="shared" si="273"/>
        <v>8.1141726718267485E-2</v>
      </c>
    </row>
    <row r="1881" spans="30:32">
      <c r="AD1881" s="50">
        <v>492.4</v>
      </c>
      <c r="AE1881" s="51">
        <v>82.698999999999998</v>
      </c>
      <c r="AF1881" s="52">
        <f t="shared" si="273"/>
        <v>8.2499741923966585E-2</v>
      </c>
    </row>
    <row r="1882" spans="30:32">
      <c r="AD1882" s="50">
        <v>492.3</v>
      </c>
      <c r="AE1882" s="51">
        <v>82.408000000000001</v>
      </c>
      <c r="AF1882" s="52">
        <f t="shared" si="273"/>
        <v>8.4030625836766584E-2</v>
      </c>
    </row>
    <row r="1883" spans="30:32">
      <c r="AD1883" s="50">
        <v>492.2</v>
      </c>
      <c r="AE1883" s="51">
        <v>82.128</v>
      </c>
      <c r="AF1883" s="52">
        <f t="shared" si="273"/>
        <v>8.5508753083312503E-2</v>
      </c>
    </row>
    <row r="1884" spans="30:32">
      <c r="AD1884" s="50">
        <v>492.1</v>
      </c>
      <c r="AE1884" s="51">
        <v>81.891000000000005</v>
      </c>
      <c r="AF1884" s="52">
        <f t="shared" si="273"/>
        <v>8.676382553034917E-2</v>
      </c>
    </row>
    <row r="1885" spans="30:32">
      <c r="AD1885" s="50">
        <v>492</v>
      </c>
      <c r="AE1885" s="51">
        <v>81.638999999999996</v>
      </c>
      <c r="AF1885" s="52">
        <f t="shared" si="273"/>
        <v>8.8102323617183925E-2</v>
      </c>
    </row>
    <row r="1886" spans="30:32">
      <c r="AD1886" s="50">
        <v>491.9</v>
      </c>
      <c r="AE1886" s="51">
        <v>81.358999999999995</v>
      </c>
      <c r="AF1886" s="52">
        <f t="shared" si="273"/>
        <v>8.9594398054226476E-2</v>
      </c>
    </row>
    <row r="1887" spans="30:32">
      <c r="AD1887" s="50">
        <v>491.8</v>
      </c>
      <c r="AE1887" s="51">
        <v>81.117999999999995</v>
      </c>
      <c r="AF1887" s="52">
        <f t="shared" si="273"/>
        <v>9.0882765600377363E-2</v>
      </c>
    </row>
    <row r="1888" spans="30:32">
      <c r="AD1888" s="50">
        <v>491.7</v>
      </c>
      <c r="AE1888" s="51">
        <v>80.885999999999996</v>
      </c>
      <c r="AF1888" s="52">
        <f t="shared" si="273"/>
        <v>9.2126640920478689E-2</v>
      </c>
    </row>
    <row r="1889" spans="30:32">
      <c r="AD1889" s="50">
        <v>491.6</v>
      </c>
      <c r="AE1889" s="51">
        <v>80.691999999999993</v>
      </c>
      <c r="AF1889" s="52">
        <f t="shared" si="273"/>
        <v>9.3169520148779106E-2</v>
      </c>
    </row>
    <row r="1890" spans="30:32">
      <c r="AD1890" s="50">
        <v>491.5</v>
      </c>
      <c r="AE1890" s="51">
        <v>80.483999999999995</v>
      </c>
      <c r="AF1890" s="52">
        <f t="shared" si="273"/>
        <v>9.4290447611723643E-2</v>
      </c>
    </row>
    <row r="1891" spans="30:32">
      <c r="AD1891" s="50">
        <v>491.4</v>
      </c>
      <c r="AE1891" s="51">
        <v>80.228999999999999</v>
      </c>
      <c r="AF1891" s="52">
        <f t="shared" si="273"/>
        <v>9.5668620949548949E-2</v>
      </c>
    </row>
    <row r="1892" spans="30:32">
      <c r="AD1892" s="50">
        <v>491.3</v>
      </c>
      <c r="AE1892" s="51">
        <v>80.097999999999999</v>
      </c>
      <c r="AF1892" s="52">
        <f t="shared" si="273"/>
        <v>9.6378327858431423E-2</v>
      </c>
    </row>
    <row r="1893" spans="30:32">
      <c r="AD1893" s="50">
        <v>491.2</v>
      </c>
      <c r="AE1893" s="51">
        <v>79.888000000000005</v>
      </c>
      <c r="AF1893" s="52">
        <f t="shared" si="273"/>
        <v>9.7518451288965469E-2</v>
      </c>
    </row>
    <row r="1894" spans="30:32">
      <c r="AD1894" s="50">
        <v>491.1</v>
      </c>
      <c r="AE1894" s="51">
        <v>79.680999999999997</v>
      </c>
      <c r="AF1894" s="52">
        <f t="shared" si="273"/>
        <v>9.8645224135604101E-2</v>
      </c>
    </row>
    <row r="1895" spans="30:32">
      <c r="AD1895" s="50">
        <v>491</v>
      </c>
      <c r="AE1895" s="51">
        <v>79.406000000000006</v>
      </c>
      <c r="AF1895" s="52">
        <f t="shared" si="273"/>
        <v>0.1001466805900106</v>
      </c>
    </row>
    <row r="1896" spans="30:32">
      <c r="AD1896" s="50">
        <v>490.9</v>
      </c>
      <c r="AE1896" s="51">
        <v>79.233999999999995</v>
      </c>
      <c r="AF1896" s="52">
        <f t="shared" si="273"/>
        <v>0.10108841886733544</v>
      </c>
    </row>
    <row r="1897" spans="30:32">
      <c r="AD1897" s="50">
        <v>490.8</v>
      </c>
      <c r="AE1897" s="51">
        <v>79.009</v>
      </c>
      <c r="AF1897" s="52">
        <f t="shared" si="273"/>
        <v>0.1023234349410852</v>
      </c>
    </row>
    <row r="1898" spans="30:32">
      <c r="AD1898" s="50">
        <v>490.7</v>
      </c>
      <c r="AE1898" s="51">
        <v>78.768000000000001</v>
      </c>
      <c r="AF1898" s="52">
        <f t="shared" si="273"/>
        <v>0.10365018157131954</v>
      </c>
    </row>
    <row r="1899" spans="30:32">
      <c r="AD1899" s="50">
        <v>490.6</v>
      </c>
      <c r="AE1899" s="51">
        <v>78.557000000000002</v>
      </c>
      <c r="AF1899" s="52">
        <f t="shared" si="273"/>
        <v>0.10481511010302109</v>
      </c>
    </row>
    <row r="1900" spans="30:32">
      <c r="AD1900" s="50">
        <v>490.5</v>
      </c>
      <c r="AE1900" s="51">
        <v>78.308999999999997</v>
      </c>
      <c r="AF1900" s="52">
        <f t="shared" si="273"/>
        <v>0.10618832190477356</v>
      </c>
    </row>
    <row r="1901" spans="30:32">
      <c r="AD1901" s="50">
        <v>490.4</v>
      </c>
      <c r="AE1901" s="51">
        <v>78.064999999999998</v>
      </c>
      <c r="AF1901" s="52">
        <f t="shared" si="273"/>
        <v>0.1075436359542384</v>
      </c>
    </row>
    <row r="1902" spans="30:32">
      <c r="AD1902" s="50">
        <v>490.3</v>
      </c>
      <c r="AE1902" s="51">
        <v>77.744</v>
      </c>
      <c r="AF1902" s="52">
        <f t="shared" si="273"/>
        <v>0.10933311828106895</v>
      </c>
    </row>
    <row r="1903" spans="30:32">
      <c r="AD1903" s="50">
        <v>490.2</v>
      </c>
      <c r="AE1903" s="51">
        <v>77.495000000000005</v>
      </c>
      <c r="AF1903" s="52">
        <f t="shared" si="273"/>
        <v>0.11072631739639971</v>
      </c>
    </row>
    <row r="1904" spans="30:32">
      <c r="AD1904" s="50">
        <v>490.1</v>
      </c>
      <c r="AE1904" s="51">
        <v>77.224999999999994</v>
      </c>
      <c r="AF1904" s="52">
        <f t="shared" si="273"/>
        <v>0.11224208302651176</v>
      </c>
    </row>
    <row r="1905" spans="30:32">
      <c r="AD1905" s="50">
        <v>490</v>
      </c>
      <c r="AE1905" s="51">
        <v>76.930999999999997</v>
      </c>
      <c r="AF1905" s="52">
        <f t="shared" si="273"/>
        <v>0.11389862227875767</v>
      </c>
    </row>
    <row r="1906" spans="30:32">
      <c r="AD1906" s="50">
        <v>489.9</v>
      </c>
      <c r="AE1906" s="51">
        <v>76.635999999999996</v>
      </c>
      <c r="AF1906" s="52">
        <f t="shared" si="273"/>
        <v>0.11556717124765718</v>
      </c>
    </row>
    <row r="1907" spans="30:32">
      <c r="AD1907" s="50">
        <v>489.8</v>
      </c>
      <c r="AE1907" s="51">
        <v>76.305999999999997</v>
      </c>
      <c r="AF1907" s="52">
        <f t="shared" si="273"/>
        <v>0.11744131179030963</v>
      </c>
    </row>
    <row r="1908" spans="30:32">
      <c r="AD1908" s="50">
        <v>489.7</v>
      </c>
      <c r="AE1908" s="51">
        <v>75.998999999999995</v>
      </c>
      <c r="AF1908" s="52">
        <f t="shared" si="273"/>
        <v>0.11919212215788143</v>
      </c>
    </row>
    <row r="1909" spans="30:32">
      <c r="AD1909" s="50">
        <v>489.6</v>
      </c>
      <c r="AE1909" s="51">
        <v>75.69</v>
      </c>
      <c r="AF1909" s="52">
        <f t="shared" si="273"/>
        <v>0.12096149476276294</v>
      </c>
    </row>
    <row r="1910" spans="30:32">
      <c r="AD1910" s="50">
        <v>489.5</v>
      </c>
      <c r="AE1910" s="51">
        <v>75.376000000000005</v>
      </c>
      <c r="AF1910" s="52">
        <f t="shared" si="273"/>
        <v>0.12276691310584148</v>
      </c>
    </row>
    <row r="1911" spans="30:32">
      <c r="AD1911" s="50">
        <v>489.4</v>
      </c>
      <c r="AE1911" s="51">
        <v>75.075999999999993</v>
      </c>
      <c r="AF1911" s="52">
        <f t="shared" si="273"/>
        <v>0.12449887435922408</v>
      </c>
    </row>
    <row r="1912" spans="30:32">
      <c r="AD1912" s="50">
        <v>489.3</v>
      </c>
      <c r="AE1912" s="51">
        <v>74.799000000000007</v>
      </c>
      <c r="AF1912" s="52">
        <f t="shared" si="273"/>
        <v>0.12610420825031091</v>
      </c>
    </row>
    <row r="1913" spans="30:32">
      <c r="AD1913" s="50">
        <v>489.2</v>
      </c>
      <c r="AE1913" s="51">
        <v>74.558000000000007</v>
      </c>
      <c r="AF1913" s="52">
        <f t="shared" si="273"/>
        <v>0.1275057503404155</v>
      </c>
    </row>
    <row r="1914" spans="30:32">
      <c r="AD1914" s="50">
        <v>489.1</v>
      </c>
      <c r="AE1914" s="51">
        <v>74.274000000000001</v>
      </c>
      <c r="AF1914" s="52">
        <f t="shared" si="273"/>
        <v>0.12916318667886567</v>
      </c>
    </row>
    <row r="1915" spans="30:32">
      <c r="AD1915" s="50">
        <v>489</v>
      </c>
      <c r="AE1915" s="51">
        <v>74.016999999999996</v>
      </c>
      <c r="AF1915" s="52">
        <f t="shared" si="273"/>
        <v>0.13066852137342644</v>
      </c>
    </row>
    <row r="1916" spans="30:32">
      <c r="AD1916" s="50">
        <v>488.9</v>
      </c>
      <c r="AE1916" s="51">
        <v>73.819000000000003</v>
      </c>
      <c r="AF1916" s="52">
        <f t="shared" si="273"/>
        <v>0.13183184233493636</v>
      </c>
    </row>
    <row r="1917" spans="30:32">
      <c r="AD1917" s="50">
        <v>488.8</v>
      </c>
      <c r="AE1917" s="51">
        <v>73.567999999999998</v>
      </c>
      <c r="AF1917" s="52">
        <f t="shared" si="273"/>
        <v>0.13331105041081498</v>
      </c>
    </row>
    <row r="1918" spans="30:32">
      <c r="AD1918" s="50">
        <v>488.7</v>
      </c>
      <c r="AE1918" s="51">
        <v>73.385000000000005</v>
      </c>
      <c r="AF1918" s="52">
        <f t="shared" si="273"/>
        <v>0.13439270143217658</v>
      </c>
    </row>
    <row r="1919" spans="30:32">
      <c r="AD1919" s="50">
        <v>488.6</v>
      </c>
      <c r="AE1919" s="51">
        <v>73.236000000000004</v>
      </c>
      <c r="AF1919" s="52">
        <f t="shared" si="273"/>
        <v>0.13527538399578209</v>
      </c>
    </row>
    <row r="1920" spans="30:32">
      <c r="AD1920" s="50">
        <v>488.5</v>
      </c>
      <c r="AE1920" s="51">
        <v>73.106999999999999</v>
      </c>
      <c r="AF1920" s="52">
        <f t="shared" si="273"/>
        <v>0.13604103732633052</v>
      </c>
    </row>
    <row r="1921" spans="30:32">
      <c r="AD1921" s="50">
        <v>488.4</v>
      </c>
      <c r="AE1921" s="51">
        <v>73.05</v>
      </c>
      <c r="AF1921" s="52">
        <f t="shared" si="273"/>
        <v>0.13637977972968446</v>
      </c>
    </row>
    <row r="1922" spans="30:32">
      <c r="AD1922" s="50">
        <v>488.3</v>
      </c>
      <c r="AE1922" s="51">
        <v>72.962000000000003</v>
      </c>
      <c r="AF1922" s="52">
        <f t="shared" si="273"/>
        <v>0.1369032698405637</v>
      </c>
    </row>
    <row r="1923" spans="30:32">
      <c r="AD1923" s="50">
        <v>488.2</v>
      </c>
      <c r="AE1923" s="51">
        <v>72.962000000000003</v>
      </c>
      <c r="AF1923" s="52">
        <f t="shared" si="273"/>
        <v>0.1369032698405637</v>
      </c>
    </row>
    <row r="1924" spans="30:32">
      <c r="AD1924" s="50">
        <v>488.1</v>
      </c>
      <c r="AE1924" s="51">
        <v>72.947000000000003</v>
      </c>
      <c r="AF1924" s="52">
        <f t="shared" si="273"/>
        <v>0.13699256408905416</v>
      </c>
    </row>
    <row r="1925" spans="30:32">
      <c r="AD1925" s="50">
        <v>488</v>
      </c>
      <c r="AE1925" s="51">
        <v>72.966999999999999</v>
      </c>
      <c r="AF1925" s="52">
        <f t="shared" ref="AF1925:AF1988" si="274">-LOG(AE1925/100)</f>
        <v>0.13687350917050681</v>
      </c>
    </row>
    <row r="1926" spans="30:32">
      <c r="AD1926" s="50">
        <v>487.9</v>
      </c>
      <c r="AE1926" s="51">
        <v>73.049000000000007</v>
      </c>
      <c r="AF1926" s="52">
        <f t="shared" si="274"/>
        <v>0.13638572493782283</v>
      </c>
    </row>
    <row r="1927" spans="30:32">
      <c r="AD1927" s="50">
        <v>487.8</v>
      </c>
      <c r="AE1927" s="51">
        <v>73.075000000000003</v>
      </c>
      <c r="AF1927" s="52">
        <f t="shared" si="274"/>
        <v>0.13623117597052595</v>
      </c>
    </row>
    <row r="1928" spans="30:32">
      <c r="AD1928" s="50">
        <v>487.7</v>
      </c>
      <c r="AE1928" s="51">
        <v>73.174000000000007</v>
      </c>
      <c r="AF1928" s="52">
        <f t="shared" si="274"/>
        <v>0.13564320394643464</v>
      </c>
    </row>
    <row r="1929" spans="30:32">
      <c r="AD1929" s="50">
        <v>487.6</v>
      </c>
      <c r="AE1929" s="51">
        <v>73.277000000000001</v>
      </c>
      <c r="AF1929" s="52">
        <f t="shared" si="274"/>
        <v>0.13503231922715636</v>
      </c>
    </row>
    <row r="1930" spans="30:32">
      <c r="AD1930" s="50">
        <v>487.5</v>
      </c>
      <c r="AE1930" s="51">
        <v>73.372</v>
      </c>
      <c r="AF1930" s="52">
        <f t="shared" si="274"/>
        <v>0.13446964261085298</v>
      </c>
    </row>
    <row r="1931" spans="30:32">
      <c r="AD1931" s="50">
        <v>487.4</v>
      </c>
      <c r="AE1931" s="51">
        <v>73.483000000000004</v>
      </c>
      <c r="AF1931" s="52">
        <f t="shared" si="274"/>
        <v>0.13381312159799655</v>
      </c>
    </row>
    <row r="1932" spans="30:32">
      <c r="AD1932" s="50">
        <v>487.3</v>
      </c>
      <c r="AE1932" s="51">
        <v>73.584999999999994</v>
      </c>
      <c r="AF1932" s="52">
        <f t="shared" si="274"/>
        <v>0.13321070578684951</v>
      </c>
    </row>
    <row r="1933" spans="30:32">
      <c r="AD1933" s="50">
        <v>487.2</v>
      </c>
      <c r="AE1933" s="51">
        <v>73.676000000000002</v>
      </c>
      <c r="AF1933" s="52">
        <f t="shared" si="274"/>
        <v>0.13267396078466009</v>
      </c>
    </row>
    <row r="1934" spans="30:32">
      <c r="AD1934" s="50">
        <v>487.1</v>
      </c>
      <c r="AE1934" s="51">
        <v>73.825000000000003</v>
      </c>
      <c r="AF1934" s="52">
        <f t="shared" si="274"/>
        <v>0.13179654436288391</v>
      </c>
    </row>
    <row r="1935" spans="30:32">
      <c r="AD1935" s="50">
        <v>487</v>
      </c>
      <c r="AE1935" s="51">
        <v>73.938000000000002</v>
      </c>
      <c r="AF1935" s="52">
        <f t="shared" si="274"/>
        <v>0.13113230113525756</v>
      </c>
    </row>
    <row r="1936" spans="30:32">
      <c r="AD1936" s="50">
        <v>486.9</v>
      </c>
      <c r="AE1936" s="51">
        <v>74.046000000000006</v>
      </c>
      <c r="AF1936" s="52">
        <f t="shared" si="274"/>
        <v>0.13049839730277746</v>
      </c>
    </row>
    <row r="1937" spans="30:32">
      <c r="AD1937" s="50">
        <v>486.8</v>
      </c>
      <c r="AE1937" s="51">
        <v>74.125</v>
      </c>
      <c r="AF1937" s="52">
        <f t="shared" si="274"/>
        <v>0.13003529362768099</v>
      </c>
    </row>
    <row r="1938" spans="30:32">
      <c r="AD1938" s="50">
        <v>486.7</v>
      </c>
      <c r="AE1938" s="51">
        <v>74.233999999999995</v>
      </c>
      <c r="AF1938" s="52">
        <f t="shared" si="274"/>
        <v>0.12939713743836981</v>
      </c>
    </row>
    <row r="1939" spans="30:32">
      <c r="AD1939" s="50">
        <v>486.6</v>
      </c>
      <c r="AE1939" s="51">
        <v>74.290000000000006</v>
      </c>
      <c r="AF1939" s="52">
        <f t="shared" si="274"/>
        <v>0.12906964165130416</v>
      </c>
    </row>
    <row r="1940" spans="30:32">
      <c r="AD1940" s="50">
        <v>486.5</v>
      </c>
      <c r="AE1940" s="51">
        <v>74.289000000000001</v>
      </c>
      <c r="AF1940" s="52">
        <f t="shared" si="274"/>
        <v>0.12907548762525622</v>
      </c>
    </row>
    <row r="1941" spans="30:32">
      <c r="AD1941" s="50">
        <v>486.4</v>
      </c>
      <c r="AE1941" s="51">
        <v>74.260000000000005</v>
      </c>
      <c r="AF1941" s="52">
        <f t="shared" si="274"/>
        <v>0.1292450551098599</v>
      </c>
    </row>
    <row r="1942" spans="30:32">
      <c r="AD1942" s="50">
        <v>486.3</v>
      </c>
      <c r="AE1942" s="51">
        <v>74.233999999999995</v>
      </c>
      <c r="AF1942" s="52">
        <f t="shared" si="274"/>
        <v>0.12939713743836981</v>
      </c>
    </row>
    <row r="1943" spans="30:32">
      <c r="AD1943" s="50">
        <v>486.2</v>
      </c>
      <c r="AE1943" s="51">
        <v>74.239000000000004</v>
      </c>
      <c r="AF1943" s="52">
        <f t="shared" si="274"/>
        <v>0.12936788670038596</v>
      </c>
    </row>
    <row r="1944" spans="30:32">
      <c r="AD1944" s="50">
        <v>486.1</v>
      </c>
      <c r="AE1944" s="51">
        <v>74.165000000000006</v>
      </c>
      <c r="AF1944" s="52">
        <f t="shared" si="274"/>
        <v>0.12980099893892977</v>
      </c>
    </row>
    <row r="1945" spans="30:32">
      <c r="AD1945" s="50">
        <v>486</v>
      </c>
      <c r="AE1945" s="51">
        <v>74.070999999999998</v>
      </c>
      <c r="AF1945" s="52">
        <f t="shared" si="274"/>
        <v>0.13035179208999731</v>
      </c>
    </row>
    <row r="1946" spans="30:32">
      <c r="AD1946" s="50">
        <v>485.9</v>
      </c>
      <c r="AE1946" s="51">
        <v>73.948999999999998</v>
      </c>
      <c r="AF1946" s="52">
        <f t="shared" si="274"/>
        <v>0.13106769451926367</v>
      </c>
    </row>
    <row r="1947" spans="30:32">
      <c r="AD1947" s="50">
        <v>485.8</v>
      </c>
      <c r="AE1947" s="51">
        <v>73.832999999999998</v>
      </c>
      <c r="AF1947" s="52">
        <f t="shared" si="274"/>
        <v>0.13174948486243532</v>
      </c>
    </row>
    <row r="1948" spans="30:32">
      <c r="AD1948" s="50">
        <v>485.7</v>
      </c>
      <c r="AE1948" s="51">
        <v>73.721999999999994</v>
      </c>
      <c r="AF1948" s="52">
        <f t="shared" si="274"/>
        <v>0.13240289134252228</v>
      </c>
    </row>
    <row r="1949" spans="30:32">
      <c r="AD1949" s="50">
        <v>485.6</v>
      </c>
      <c r="AE1949" s="51">
        <v>73.584999999999994</v>
      </c>
      <c r="AF1949" s="52">
        <f t="shared" si="274"/>
        <v>0.13321070578684951</v>
      </c>
    </row>
    <row r="1950" spans="30:32">
      <c r="AD1950" s="50">
        <v>485.5</v>
      </c>
      <c r="AE1950" s="51">
        <v>73.421999999999997</v>
      </c>
      <c r="AF1950" s="52">
        <f t="shared" si="274"/>
        <v>0.13417378957959936</v>
      </c>
    </row>
    <row r="1951" spans="30:32">
      <c r="AD1951" s="50">
        <v>485.4</v>
      </c>
      <c r="AE1951" s="51">
        <v>73.209000000000003</v>
      </c>
      <c r="AF1951" s="52">
        <f t="shared" si="274"/>
        <v>0.13543552536140402</v>
      </c>
    </row>
    <row r="1952" spans="30:32">
      <c r="AD1952" s="50">
        <v>485.3</v>
      </c>
      <c r="AE1952" s="51">
        <v>73.031000000000006</v>
      </c>
      <c r="AF1952" s="52">
        <f t="shared" si="274"/>
        <v>0.13649275260367477</v>
      </c>
    </row>
    <row r="1953" spans="30:32">
      <c r="AD1953" s="50">
        <v>485.2</v>
      </c>
      <c r="AE1953" s="51">
        <v>72.832999999999998</v>
      </c>
      <c r="AF1953" s="52">
        <f t="shared" si="274"/>
        <v>0.13767180103553625</v>
      </c>
    </row>
    <row r="1954" spans="30:32">
      <c r="AD1954" s="50">
        <v>485.1</v>
      </c>
      <c r="AE1954" s="51">
        <v>72.625</v>
      </c>
      <c r="AF1954" s="52">
        <f t="shared" si="274"/>
        <v>0.13891385460161287</v>
      </c>
    </row>
    <row r="1955" spans="30:32">
      <c r="AD1955" s="50">
        <v>485</v>
      </c>
      <c r="AE1955" s="51">
        <v>72.450999999999993</v>
      </c>
      <c r="AF1955" s="52">
        <f t="shared" si="274"/>
        <v>0.13995561583138869</v>
      </c>
    </row>
    <row r="1956" spans="30:32">
      <c r="AD1956" s="50">
        <v>484.9</v>
      </c>
      <c r="AE1956" s="51">
        <v>72.286000000000001</v>
      </c>
      <c r="AF1956" s="52">
        <f t="shared" si="274"/>
        <v>0.14094580659887027</v>
      </c>
    </row>
    <row r="1957" spans="30:32">
      <c r="AD1957" s="50">
        <v>484.8</v>
      </c>
      <c r="AE1957" s="51">
        <v>72.14</v>
      </c>
      <c r="AF1957" s="52">
        <f t="shared" si="274"/>
        <v>0.14182386201765568</v>
      </c>
    </row>
    <row r="1958" spans="30:32">
      <c r="AD1958" s="50">
        <v>484.7</v>
      </c>
      <c r="AE1958" s="51">
        <v>72.019000000000005</v>
      </c>
      <c r="AF1958" s="52">
        <f t="shared" si="274"/>
        <v>0.14255291319934918</v>
      </c>
    </row>
    <row r="1959" spans="30:32">
      <c r="AD1959" s="50">
        <v>484.6</v>
      </c>
      <c r="AE1959" s="51">
        <v>71.884</v>
      </c>
      <c r="AF1959" s="52">
        <f t="shared" si="274"/>
        <v>0.14336776448468447</v>
      </c>
    </row>
    <row r="1960" spans="30:32">
      <c r="AD1960" s="50">
        <v>484.5</v>
      </c>
      <c r="AE1960" s="51">
        <v>71.817999999999998</v>
      </c>
      <c r="AF1960" s="52">
        <f t="shared" si="274"/>
        <v>0.14376669334887643</v>
      </c>
    </row>
    <row r="1961" spans="30:32">
      <c r="AD1961" s="50">
        <v>484.4</v>
      </c>
      <c r="AE1961" s="51">
        <v>71.760999999999996</v>
      </c>
      <c r="AF1961" s="52">
        <f t="shared" si="274"/>
        <v>0.14411151796485747</v>
      </c>
    </row>
    <row r="1962" spans="30:32">
      <c r="AD1962" s="50">
        <v>484.3</v>
      </c>
      <c r="AE1962" s="51">
        <v>71.721999999999994</v>
      </c>
      <c r="AF1962" s="52">
        <f t="shared" si="274"/>
        <v>0.14434760844542088</v>
      </c>
    </row>
    <row r="1963" spans="30:32">
      <c r="AD1963" s="50">
        <v>484.2</v>
      </c>
      <c r="AE1963" s="51">
        <v>71.781000000000006</v>
      </c>
      <c r="AF1963" s="52">
        <f t="shared" si="274"/>
        <v>0.14399049568992361</v>
      </c>
    </row>
    <row r="1964" spans="30:32">
      <c r="AD1964" s="50">
        <v>484.1</v>
      </c>
      <c r="AE1964" s="51">
        <v>71.881</v>
      </c>
      <c r="AF1964" s="52">
        <f t="shared" si="274"/>
        <v>0.14338588966739099</v>
      </c>
    </row>
    <row r="1965" spans="30:32">
      <c r="AD1965" s="50">
        <v>484</v>
      </c>
      <c r="AE1965" s="51">
        <v>72.022000000000006</v>
      </c>
      <c r="AF1965" s="52">
        <f t="shared" si="274"/>
        <v>0.14253482274668783</v>
      </c>
    </row>
    <row r="1966" spans="30:32">
      <c r="AD1966" s="50">
        <v>483.9</v>
      </c>
      <c r="AE1966" s="51">
        <v>72.177999999999997</v>
      </c>
      <c r="AF1966" s="52">
        <f t="shared" si="274"/>
        <v>0.14159515609471171</v>
      </c>
    </row>
    <row r="1967" spans="30:32">
      <c r="AD1967" s="50">
        <v>483.8</v>
      </c>
      <c r="AE1967" s="51">
        <v>72.376000000000005</v>
      </c>
      <c r="AF1967" s="52">
        <f t="shared" si="274"/>
        <v>0.14040542269135883</v>
      </c>
    </row>
    <row r="1968" spans="30:32">
      <c r="AD1968" s="50">
        <v>483.7</v>
      </c>
      <c r="AE1968" s="51">
        <v>72.608000000000004</v>
      </c>
      <c r="AF1968" s="52">
        <f t="shared" si="274"/>
        <v>0.13901552579515802</v>
      </c>
    </row>
    <row r="1969" spans="30:32">
      <c r="AD1969" s="50">
        <v>483.6</v>
      </c>
      <c r="AE1969" s="51">
        <v>72.927999999999997</v>
      </c>
      <c r="AF1969" s="52">
        <f t="shared" si="274"/>
        <v>0.13710569649971849</v>
      </c>
    </row>
    <row r="1970" spans="30:32">
      <c r="AD1970" s="50">
        <v>483.5</v>
      </c>
      <c r="AE1970" s="51">
        <v>73.213999999999999</v>
      </c>
      <c r="AF1970" s="52">
        <f t="shared" si="274"/>
        <v>0.13540586509750613</v>
      </c>
    </row>
    <row r="1971" spans="30:32">
      <c r="AD1971" s="50">
        <v>483.4</v>
      </c>
      <c r="AE1971" s="51">
        <v>73.546000000000006</v>
      </c>
      <c r="AF1971" s="52">
        <f t="shared" si="274"/>
        <v>0.13344094258522518</v>
      </c>
    </row>
    <row r="1972" spans="30:32">
      <c r="AD1972" s="50">
        <v>483.3</v>
      </c>
      <c r="AE1972" s="51">
        <v>73.861999999999995</v>
      </c>
      <c r="AF1972" s="52">
        <f t="shared" si="274"/>
        <v>0.13157893690702654</v>
      </c>
    </row>
    <row r="1973" spans="30:32">
      <c r="AD1973" s="50">
        <v>483.2</v>
      </c>
      <c r="AE1973" s="51">
        <v>74.194999999999993</v>
      </c>
      <c r="AF1973" s="52">
        <f t="shared" si="274"/>
        <v>0.12962536083385198</v>
      </c>
    </row>
    <row r="1974" spans="30:32">
      <c r="AD1974" s="50">
        <v>483.1</v>
      </c>
      <c r="AE1974" s="51">
        <v>74.513999999999996</v>
      </c>
      <c r="AF1974" s="52">
        <f t="shared" si="274"/>
        <v>0.12776212253316352</v>
      </c>
    </row>
    <row r="1975" spans="30:32">
      <c r="AD1975" s="50">
        <v>483</v>
      </c>
      <c r="AE1975" s="51">
        <v>74.867000000000004</v>
      </c>
      <c r="AF1975" s="52">
        <f t="shared" si="274"/>
        <v>0.12570956916325687</v>
      </c>
    </row>
    <row r="1976" spans="30:32">
      <c r="AD1976" s="50">
        <v>482.9</v>
      </c>
      <c r="AE1976" s="51">
        <v>75.251999999999995</v>
      </c>
      <c r="AF1976" s="52">
        <f t="shared" si="274"/>
        <v>0.12348195317702536</v>
      </c>
    </row>
    <row r="1977" spans="30:32">
      <c r="AD1977" s="50">
        <v>482.8</v>
      </c>
      <c r="AE1977" s="51">
        <v>75.58</v>
      </c>
      <c r="AF1977" s="52">
        <f t="shared" si="274"/>
        <v>0.12159311241900428</v>
      </c>
    </row>
    <row r="1978" spans="30:32">
      <c r="AD1978" s="50">
        <v>482.7</v>
      </c>
      <c r="AE1978" s="51">
        <v>75.933999999999997</v>
      </c>
      <c r="AF1978" s="52">
        <f t="shared" si="274"/>
        <v>0.11956372204791149</v>
      </c>
    </row>
    <row r="1979" spans="30:32">
      <c r="AD1979" s="50">
        <v>482.6</v>
      </c>
      <c r="AE1979" s="51">
        <v>76.247</v>
      </c>
      <c r="AF1979" s="52">
        <f t="shared" si="274"/>
        <v>0.11777723931333231</v>
      </c>
    </row>
    <row r="1980" spans="30:32">
      <c r="AD1980" s="50">
        <v>482.5</v>
      </c>
      <c r="AE1980" s="51">
        <v>76.525000000000006</v>
      </c>
      <c r="AF1980" s="52">
        <f t="shared" si="274"/>
        <v>0.11619666173062769</v>
      </c>
    </row>
    <row r="1981" spans="30:32">
      <c r="AD1981" s="50">
        <v>482.4</v>
      </c>
      <c r="AE1981" s="51">
        <v>76.781999999999996</v>
      </c>
      <c r="AF1981" s="52">
        <f t="shared" si="274"/>
        <v>0.11474057966780242</v>
      </c>
    </row>
    <row r="1982" spans="30:32">
      <c r="AD1982" s="50">
        <v>482.3</v>
      </c>
      <c r="AE1982" s="51">
        <v>77.125</v>
      </c>
      <c r="AF1982" s="52">
        <f t="shared" si="274"/>
        <v>0.11280482295870191</v>
      </c>
    </row>
    <row r="1983" spans="30:32">
      <c r="AD1983" s="50">
        <v>482.2</v>
      </c>
      <c r="AE1983" s="51">
        <v>77.400000000000006</v>
      </c>
      <c r="AF1983" s="52">
        <f t="shared" si="274"/>
        <v>0.11125903931710739</v>
      </c>
    </row>
    <row r="1984" spans="30:32">
      <c r="AD1984" s="50">
        <v>482.1</v>
      </c>
      <c r="AE1984" s="51">
        <v>77.673000000000002</v>
      </c>
      <c r="AF1984" s="52">
        <f t="shared" si="274"/>
        <v>0.10972992056602104</v>
      </c>
    </row>
    <row r="1985" spans="30:32">
      <c r="AD1985" s="50">
        <v>482</v>
      </c>
      <c r="AE1985" s="51">
        <v>77.888999999999996</v>
      </c>
      <c r="AF1985" s="52">
        <f t="shared" si="274"/>
        <v>0.10852387193747061</v>
      </c>
    </row>
    <row r="1986" spans="30:32">
      <c r="AD1986" s="50">
        <v>481.9</v>
      </c>
      <c r="AE1986" s="51">
        <v>78.143000000000001</v>
      </c>
      <c r="AF1986" s="52">
        <f t="shared" si="274"/>
        <v>0.1071099197245465</v>
      </c>
    </row>
    <row r="1987" spans="30:32">
      <c r="AD1987" s="50">
        <v>481.8</v>
      </c>
      <c r="AE1987" s="51">
        <v>78.393000000000001</v>
      </c>
      <c r="AF1987" s="52">
        <f t="shared" si="274"/>
        <v>0.10572271533977619</v>
      </c>
    </row>
    <row r="1988" spans="30:32">
      <c r="AD1988" s="50">
        <v>481.7</v>
      </c>
      <c r="AE1988" s="51">
        <v>78.682000000000002</v>
      </c>
      <c r="AF1988" s="52">
        <f t="shared" si="274"/>
        <v>0.10412460937897842</v>
      </c>
    </row>
    <row r="1989" spans="30:32">
      <c r="AD1989" s="50">
        <v>481.6</v>
      </c>
      <c r="AE1989" s="51">
        <v>78.945999999999998</v>
      </c>
      <c r="AF1989" s="52">
        <f t="shared" ref="AF1989:AF2052" si="275">-LOG(AE1989/100)</f>
        <v>0.10266986973340884</v>
      </c>
    </row>
    <row r="1990" spans="30:32">
      <c r="AD1990" s="50">
        <v>481.5</v>
      </c>
      <c r="AE1990" s="51">
        <v>79.222999999999999</v>
      </c>
      <c r="AF1990" s="52">
        <f t="shared" si="275"/>
        <v>0.10114871584769738</v>
      </c>
    </row>
    <row r="1991" spans="30:32">
      <c r="AD1991" s="50">
        <v>481.4</v>
      </c>
      <c r="AE1991" s="51">
        <v>79.488</v>
      </c>
      <c r="AF1991" s="52">
        <f t="shared" si="275"/>
        <v>9.9698430175551425E-2</v>
      </c>
    </row>
    <row r="1992" spans="30:32">
      <c r="AD1992" s="50">
        <v>481.3</v>
      </c>
      <c r="AE1992" s="51">
        <v>79.763999999999996</v>
      </c>
      <c r="AF1992" s="52">
        <f t="shared" si="275"/>
        <v>9.8193075178234487E-2</v>
      </c>
    </row>
    <row r="1993" spans="30:32">
      <c r="AD1993" s="50">
        <v>481.2</v>
      </c>
      <c r="AE1993" s="51">
        <v>80.022000000000006</v>
      </c>
      <c r="AF1993" s="52">
        <f t="shared" si="275"/>
        <v>9.679059844428306E-2</v>
      </c>
    </row>
    <row r="1994" spans="30:32">
      <c r="AD1994" s="50">
        <v>481.1</v>
      </c>
      <c r="AE1994" s="51">
        <v>80.290999999999997</v>
      </c>
      <c r="AF1994" s="52">
        <f t="shared" si="275"/>
        <v>9.5333133045026122E-2</v>
      </c>
    </row>
    <row r="1995" spans="30:32">
      <c r="AD1995" s="50">
        <v>481</v>
      </c>
      <c r="AE1995" s="51">
        <v>80.561000000000007</v>
      </c>
      <c r="AF1995" s="52">
        <f t="shared" si="275"/>
        <v>9.3875151543484386E-2</v>
      </c>
    </row>
    <row r="1996" spans="30:32">
      <c r="AD1996" s="50">
        <v>480.9</v>
      </c>
      <c r="AE1996" s="51">
        <v>80.831000000000003</v>
      </c>
      <c r="AF1996" s="52">
        <f t="shared" si="275"/>
        <v>9.242204829788031E-2</v>
      </c>
    </row>
    <row r="1997" spans="30:32">
      <c r="AD1997" s="50">
        <v>480.8</v>
      </c>
      <c r="AE1997" s="51">
        <v>81.069000000000003</v>
      </c>
      <c r="AF1997" s="52">
        <f t="shared" si="275"/>
        <v>9.114518404650096E-2</v>
      </c>
    </row>
    <row r="1998" spans="30:32">
      <c r="AD1998" s="50">
        <v>480.7</v>
      </c>
      <c r="AE1998" s="51">
        <v>81.335999999999999</v>
      </c>
      <c r="AF1998" s="52">
        <f t="shared" si="275"/>
        <v>8.9717189451015741E-2</v>
      </c>
    </row>
    <row r="1999" spans="30:32">
      <c r="AD1999" s="50">
        <v>480.6</v>
      </c>
      <c r="AE1999" s="51">
        <v>81.558999999999997</v>
      </c>
      <c r="AF1999" s="52">
        <f t="shared" si="275"/>
        <v>8.8528107773058362E-2</v>
      </c>
    </row>
    <row r="2000" spans="30:32">
      <c r="AD2000" s="50">
        <v>480.5</v>
      </c>
      <c r="AE2000" s="51">
        <v>81.775000000000006</v>
      </c>
      <c r="AF2000" s="52">
        <f t="shared" si="275"/>
        <v>8.7379447202980715E-2</v>
      </c>
    </row>
    <row r="2001" spans="30:32">
      <c r="AD2001" s="50">
        <v>480.4</v>
      </c>
      <c r="AE2001" s="51">
        <v>81.977999999999994</v>
      </c>
      <c r="AF2001" s="52">
        <f t="shared" si="275"/>
        <v>8.6302681281277396E-2</v>
      </c>
    </row>
    <row r="2002" spans="30:32">
      <c r="AD2002" s="50">
        <v>480.3</v>
      </c>
      <c r="AE2002" s="51">
        <v>82.210999999999999</v>
      </c>
      <c r="AF2002" s="52">
        <f t="shared" si="275"/>
        <v>8.5070069081792848E-2</v>
      </c>
    </row>
    <row r="2003" spans="30:32">
      <c r="AD2003" s="50">
        <v>480.2</v>
      </c>
      <c r="AE2003" s="51">
        <v>82.472999999999999</v>
      </c>
      <c r="AF2003" s="52">
        <f t="shared" si="275"/>
        <v>8.3688207452767296E-2</v>
      </c>
    </row>
    <row r="2004" spans="30:32">
      <c r="AD2004" s="50">
        <v>480.1</v>
      </c>
      <c r="AE2004" s="51">
        <v>82.67</v>
      </c>
      <c r="AF2004" s="52">
        <f t="shared" si="275"/>
        <v>8.2652062372228371E-2</v>
      </c>
    </row>
    <row r="2005" spans="30:32">
      <c r="AD2005" s="50">
        <v>480</v>
      </c>
      <c r="AE2005" s="51">
        <v>82.861999999999995</v>
      </c>
      <c r="AF2005" s="52">
        <f t="shared" si="275"/>
        <v>8.1644588555449413E-2</v>
      </c>
    </row>
    <row r="2006" spans="30:32">
      <c r="AD2006" s="50">
        <v>479.9</v>
      </c>
      <c r="AE2006" s="51">
        <v>83.013999999999996</v>
      </c>
      <c r="AF2006" s="52">
        <f t="shared" si="275"/>
        <v>8.0848659310397628E-2</v>
      </c>
    </row>
    <row r="2007" spans="30:32">
      <c r="AD2007" s="50">
        <v>479.8</v>
      </c>
      <c r="AE2007" s="51">
        <v>83.195999999999998</v>
      </c>
      <c r="AF2007" s="52">
        <f t="shared" si="275"/>
        <v>7.9897553753603398E-2</v>
      </c>
    </row>
    <row r="2008" spans="30:32">
      <c r="AD2008" s="50">
        <v>479.7</v>
      </c>
      <c r="AE2008" s="51">
        <v>83.409000000000006</v>
      </c>
      <c r="AF2008" s="52">
        <f t="shared" si="275"/>
        <v>7.8787085579840349E-2</v>
      </c>
    </row>
    <row r="2009" spans="30:32">
      <c r="AD2009" s="50">
        <v>479.6</v>
      </c>
      <c r="AE2009" s="51">
        <v>83.512</v>
      </c>
      <c r="AF2009" s="52">
        <f t="shared" si="275"/>
        <v>7.8251115422538722E-2</v>
      </c>
    </row>
    <row r="2010" spans="30:32">
      <c r="AD2010" s="50">
        <v>479.5</v>
      </c>
      <c r="AE2010" s="51">
        <v>83.679000000000002</v>
      </c>
      <c r="AF2010" s="52">
        <f t="shared" si="275"/>
        <v>7.7383518451429253E-2</v>
      </c>
    </row>
    <row r="2011" spans="30:32">
      <c r="AD2011" s="50">
        <v>479.4</v>
      </c>
      <c r="AE2011" s="51">
        <v>83.787000000000006</v>
      </c>
      <c r="AF2011" s="52">
        <f t="shared" si="275"/>
        <v>7.6823359248390233E-2</v>
      </c>
    </row>
    <row r="2012" spans="30:32">
      <c r="AD2012" s="50">
        <v>479.3</v>
      </c>
      <c r="AE2012" s="51">
        <v>83.930999999999997</v>
      </c>
      <c r="AF2012" s="52">
        <f t="shared" si="275"/>
        <v>7.6077602433246433E-2</v>
      </c>
    </row>
    <row r="2013" spans="30:32">
      <c r="AD2013" s="50">
        <v>479.2</v>
      </c>
      <c r="AE2013" s="51">
        <v>83.968000000000004</v>
      </c>
      <c r="AF2013" s="52">
        <f t="shared" si="275"/>
        <v>7.5886190976471368E-2</v>
      </c>
    </row>
    <row r="2014" spans="30:32">
      <c r="AD2014" s="50">
        <v>479.1</v>
      </c>
      <c r="AE2014" s="51">
        <v>84.048000000000002</v>
      </c>
      <c r="AF2014" s="52">
        <f t="shared" si="275"/>
        <v>7.5472616540966639E-2</v>
      </c>
    </row>
    <row r="2015" spans="30:32">
      <c r="AD2015" s="50">
        <v>479</v>
      </c>
      <c r="AE2015" s="51">
        <v>84.076999999999998</v>
      </c>
      <c r="AF2015" s="52">
        <f t="shared" si="275"/>
        <v>7.532279301561226E-2</v>
      </c>
    </row>
    <row r="2016" spans="30:32">
      <c r="AD2016" s="50">
        <v>478.9</v>
      </c>
      <c r="AE2016" s="51">
        <v>84.119</v>
      </c>
      <c r="AF2016" s="52">
        <f t="shared" si="275"/>
        <v>7.5105898813383212E-2</v>
      </c>
    </row>
    <row r="2017" spans="30:32">
      <c r="AD2017" s="50">
        <v>478.8</v>
      </c>
      <c r="AE2017" s="51">
        <v>84.201999999999998</v>
      </c>
      <c r="AF2017" s="52">
        <f t="shared" si="275"/>
        <v>7.4677592839445681E-2</v>
      </c>
    </row>
    <row r="2018" spans="30:32">
      <c r="AD2018" s="50">
        <v>478.7</v>
      </c>
      <c r="AE2018" s="51">
        <v>84.138000000000005</v>
      </c>
      <c r="AF2018" s="52">
        <f t="shared" si="275"/>
        <v>7.5007815581289022E-2</v>
      </c>
    </row>
    <row r="2019" spans="30:32">
      <c r="AD2019" s="50">
        <v>478.6</v>
      </c>
      <c r="AE2019" s="51">
        <v>84.067999999999998</v>
      </c>
      <c r="AF2019" s="52">
        <f t="shared" si="275"/>
        <v>7.5369284440761547E-2</v>
      </c>
    </row>
    <row r="2020" spans="30:32">
      <c r="AD2020" s="50">
        <v>478.5</v>
      </c>
      <c r="AE2020" s="51">
        <v>83.942999999999998</v>
      </c>
      <c r="AF2020" s="52">
        <f t="shared" si="275"/>
        <v>7.6015513797820872E-2</v>
      </c>
    </row>
    <row r="2021" spans="30:32">
      <c r="AD2021" s="50">
        <v>478.4</v>
      </c>
      <c r="AE2021" s="51">
        <v>83.882999999999996</v>
      </c>
      <c r="AF2021" s="52">
        <f t="shared" si="275"/>
        <v>7.6326045777661763E-2</v>
      </c>
    </row>
    <row r="2022" spans="30:32">
      <c r="AD2022" s="50">
        <v>478.3</v>
      </c>
      <c r="AE2022" s="51">
        <v>83.766999999999996</v>
      </c>
      <c r="AF2022" s="52">
        <f t="shared" si="275"/>
        <v>7.6927037939192311E-2</v>
      </c>
    </row>
    <row r="2023" spans="30:32">
      <c r="AD2023" s="50">
        <v>478.2</v>
      </c>
      <c r="AE2023" s="51">
        <v>83.644000000000005</v>
      </c>
      <c r="AF2023" s="52">
        <f t="shared" si="275"/>
        <v>7.7565206648369397E-2</v>
      </c>
    </row>
    <row r="2024" spans="30:32">
      <c r="AD2024" s="50">
        <v>478.1</v>
      </c>
      <c r="AE2024" s="51">
        <v>83.456000000000003</v>
      </c>
      <c r="AF2024" s="52">
        <f t="shared" si="275"/>
        <v>7.854243462021139E-2</v>
      </c>
    </row>
    <row r="2025" spans="30:32">
      <c r="AD2025" s="50">
        <v>478</v>
      </c>
      <c r="AE2025" s="51">
        <v>83.275000000000006</v>
      </c>
      <c r="AF2025" s="52">
        <f t="shared" si="275"/>
        <v>7.9485358636785533E-2</v>
      </c>
    </row>
    <row r="2026" spans="30:32">
      <c r="AD2026" s="50">
        <v>477.9</v>
      </c>
      <c r="AE2026" s="51">
        <v>83.105999999999995</v>
      </c>
      <c r="AF2026" s="52">
        <f t="shared" si="275"/>
        <v>8.0367620345552823E-2</v>
      </c>
    </row>
    <row r="2027" spans="30:32">
      <c r="AD2027" s="50">
        <v>477.8</v>
      </c>
      <c r="AE2027" s="51">
        <v>82.831999999999994</v>
      </c>
      <c r="AF2027" s="52">
        <f t="shared" si="275"/>
        <v>8.1801852362219291E-2</v>
      </c>
    </row>
    <row r="2028" spans="30:32">
      <c r="AD2028" s="50">
        <v>477.7</v>
      </c>
      <c r="AE2028" s="51">
        <v>82.522000000000006</v>
      </c>
      <c r="AF2028" s="52">
        <f t="shared" si="275"/>
        <v>8.3430255027070965E-2</v>
      </c>
    </row>
    <row r="2029" spans="30:32">
      <c r="AD2029" s="50">
        <v>477.6</v>
      </c>
      <c r="AE2029" s="51">
        <v>82.272000000000006</v>
      </c>
      <c r="AF2029" s="52">
        <f t="shared" si="275"/>
        <v>8.4747945037233416E-2</v>
      </c>
    </row>
    <row r="2030" spans="30:32">
      <c r="AD2030" s="50">
        <v>477.5</v>
      </c>
      <c r="AE2030" s="51">
        <v>82.042000000000002</v>
      </c>
      <c r="AF2030" s="52">
        <f t="shared" si="275"/>
        <v>8.5963761048959031E-2</v>
      </c>
    </row>
    <row r="2031" spans="30:32">
      <c r="AD2031" s="50">
        <v>477.4</v>
      </c>
      <c r="AE2031" s="51">
        <v>81.691000000000003</v>
      </c>
      <c r="AF2031" s="52">
        <f t="shared" si="275"/>
        <v>8.7825787600261107E-2</v>
      </c>
    </row>
    <row r="2032" spans="30:32">
      <c r="AD2032" s="50">
        <v>477.3</v>
      </c>
      <c r="AE2032" s="51">
        <v>81.281999999999996</v>
      </c>
      <c r="AF2032" s="52">
        <f t="shared" si="275"/>
        <v>9.0005618811661858E-2</v>
      </c>
    </row>
    <row r="2033" spans="30:32">
      <c r="AD2033" s="50">
        <v>477.2</v>
      </c>
      <c r="AE2033" s="51">
        <v>80.902000000000001</v>
      </c>
      <c r="AF2033" s="52">
        <f t="shared" si="275"/>
        <v>9.2040741944867291E-2</v>
      </c>
    </row>
    <row r="2034" spans="30:32">
      <c r="AD2034" s="50">
        <v>477.1</v>
      </c>
      <c r="AE2034" s="51">
        <v>80.507999999999996</v>
      </c>
      <c r="AF2034" s="52">
        <f t="shared" si="275"/>
        <v>9.4160962076505914E-2</v>
      </c>
    </row>
    <row r="2035" spans="30:32">
      <c r="AD2035" s="50">
        <v>477</v>
      </c>
      <c r="AE2035" s="51">
        <v>80.131</v>
      </c>
      <c r="AF2035" s="52">
        <f t="shared" si="275"/>
        <v>9.6199437419054734E-2</v>
      </c>
    </row>
    <row r="2036" spans="30:32">
      <c r="AD2036" s="50">
        <v>476.9</v>
      </c>
      <c r="AE2036" s="51">
        <v>79.701999999999998</v>
      </c>
      <c r="AF2036" s="52">
        <f t="shared" si="275"/>
        <v>9.8530780510214425E-2</v>
      </c>
    </row>
    <row r="2037" spans="30:32">
      <c r="AD2037" s="50">
        <v>476.8</v>
      </c>
      <c r="AE2037" s="51">
        <v>79.290999999999997</v>
      </c>
      <c r="AF2037" s="52">
        <f t="shared" si="275"/>
        <v>0.10077610489117633</v>
      </c>
    </row>
    <row r="2038" spans="30:32">
      <c r="AD2038" s="50">
        <v>476.7</v>
      </c>
      <c r="AE2038" s="51">
        <v>78.876000000000005</v>
      </c>
      <c r="AF2038" s="52">
        <f t="shared" si="275"/>
        <v>0.10305512167200741</v>
      </c>
    </row>
    <row r="2039" spans="30:32">
      <c r="AD2039" s="50">
        <v>476.6</v>
      </c>
      <c r="AE2039" s="51">
        <v>78.406999999999996</v>
      </c>
      <c r="AF2039" s="52">
        <f t="shared" si="275"/>
        <v>0.105645162753516</v>
      </c>
    </row>
    <row r="2040" spans="30:32">
      <c r="AD2040" s="50">
        <v>476.5</v>
      </c>
      <c r="AE2040" s="51">
        <v>77.983000000000004</v>
      </c>
      <c r="AF2040" s="52">
        <f t="shared" si="275"/>
        <v>0.10800006155141245</v>
      </c>
    </row>
    <row r="2041" spans="30:32">
      <c r="AD2041" s="50">
        <v>476.4</v>
      </c>
      <c r="AE2041" s="51">
        <v>77.61</v>
      </c>
      <c r="AF2041" s="52">
        <f t="shared" si="275"/>
        <v>0.11008231656379414</v>
      </c>
    </row>
    <row r="2042" spans="30:32">
      <c r="AD2042" s="50">
        <v>476.3</v>
      </c>
      <c r="AE2042" s="51">
        <v>77.159000000000006</v>
      </c>
      <c r="AF2042" s="52">
        <f t="shared" si="275"/>
        <v>0.11261340955713403</v>
      </c>
    </row>
    <row r="2043" spans="30:32">
      <c r="AD2043" s="50">
        <v>476.2</v>
      </c>
      <c r="AE2043" s="51">
        <v>76.802999999999997</v>
      </c>
      <c r="AF2043" s="52">
        <f t="shared" si="275"/>
        <v>0.11462181567162043</v>
      </c>
    </row>
    <row r="2044" spans="30:32">
      <c r="AD2044" s="50">
        <v>476.1</v>
      </c>
      <c r="AE2044" s="51">
        <v>76.408000000000001</v>
      </c>
      <c r="AF2044" s="52">
        <f t="shared" si="275"/>
        <v>0.11686116794309967</v>
      </c>
    </row>
    <row r="2045" spans="30:32">
      <c r="AD2045" s="50">
        <v>476</v>
      </c>
      <c r="AE2045" s="51">
        <v>75.986999999999995</v>
      </c>
      <c r="AF2045" s="52">
        <f t="shared" si="275"/>
        <v>0.11926070128745479</v>
      </c>
    </row>
    <row r="2046" spans="30:32">
      <c r="AD2046" s="50">
        <v>475.9</v>
      </c>
      <c r="AE2046" s="51">
        <v>75.58</v>
      </c>
      <c r="AF2046" s="52">
        <f t="shared" si="275"/>
        <v>0.12159311241900428</v>
      </c>
    </row>
    <row r="2047" spans="30:32">
      <c r="AD2047" s="50">
        <v>475.8</v>
      </c>
      <c r="AE2047" s="51">
        <v>75.204999999999998</v>
      </c>
      <c r="AF2047" s="52">
        <f t="shared" si="275"/>
        <v>0.12375328440539488</v>
      </c>
    </row>
    <row r="2048" spans="30:32">
      <c r="AD2048" s="50">
        <v>475.7</v>
      </c>
      <c r="AE2048" s="51">
        <v>74.887</v>
      </c>
      <c r="AF2048" s="52">
        <f t="shared" si="275"/>
        <v>0.12559356705727365</v>
      </c>
    </row>
    <row r="2049" spans="30:32">
      <c r="AD2049" s="50">
        <v>475.6</v>
      </c>
      <c r="AE2049" s="51">
        <v>74.677999999999997</v>
      </c>
      <c r="AF2049" s="52">
        <f t="shared" si="275"/>
        <v>0.12680732168968165</v>
      </c>
    </row>
    <row r="2050" spans="30:32">
      <c r="AD2050" s="50">
        <v>475.5</v>
      </c>
      <c r="AE2050" s="51">
        <v>74.358999999999995</v>
      </c>
      <c r="AF2050" s="52">
        <f t="shared" si="275"/>
        <v>0.12866645937085106</v>
      </c>
    </row>
    <row r="2051" spans="30:32">
      <c r="AD2051" s="50">
        <v>475.4</v>
      </c>
      <c r="AE2051" s="51">
        <v>74.069000000000003</v>
      </c>
      <c r="AF2051" s="52">
        <f t="shared" si="275"/>
        <v>0.13036351868597212</v>
      </c>
    </row>
    <row r="2052" spans="30:32">
      <c r="AD2052" s="50">
        <v>475.3</v>
      </c>
      <c r="AE2052" s="51">
        <v>73.762</v>
      </c>
      <c r="AF2052" s="52">
        <f t="shared" si="275"/>
        <v>0.13216731623332972</v>
      </c>
    </row>
    <row r="2053" spans="30:32">
      <c r="AD2053" s="50">
        <v>475.2</v>
      </c>
      <c r="AE2053" s="51">
        <v>73.445999999999998</v>
      </c>
      <c r="AF2053" s="52">
        <f t="shared" ref="AF2053:AF2116" si="276">-LOG(AE2053/100)</f>
        <v>0.1340318516808269</v>
      </c>
    </row>
    <row r="2054" spans="30:32">
      <c r="AD2054" s="50">
        <v>475.1</v>
      </c>
      <c r="AE2054" s="51">
        <v>73.215999999999994</v>
      </c>
      <c r="AF2054" s="52">
        <f t="shared" si="276"/>
        <v>0.13539400155910747</v>
      </c>
    </row>
    <row r="2055" spans="30:32">
      <c r="AD2055" s="50">
        <v>475</v>
      </c>
      <c r="AE2055" s="51">
        <v>73.046999999999997</v>
      </c>
      <c r="AF2055" s="52">
        <f t="shared" si="276"/>
        <v>0.13639761559826344</v>
      </c>
    </row>
    <row r="2056" spans="30:32">
      <c r="AD2056" s="50">
        <v>474.9</v>
      </c>
      <c r="AE2056" s="51">
        <v>72.796999999999997</v>
      </c>
      <c r="AF2056" s="52">
        <f t="shared" si="276"/>
        <v>0.13788651780635255</v>
      </c>
    </row>
    <row r="2057" spans="30:32">
      <c r="AD2057" s="50">
        <v>474.8</v>
      </c>
      <c r="AE2057" s="51">
        <v>72.59</v>
      </c>
      <c r="AF2057" s="52">
        <f t="shared" si="276"/>
        <v>0.13912320359670222</v>
      </c>
    </row>
    <row r="2058" spans="30:32">
      <c r="AD2058" s="50">
        <v>474.7</v>
      </c>
      <c r="AE2058" s="51">
        <v>72.337000000000003</v>
      </c>
      <c r="AF2058" s="52">
        <f t="shared" si="276"/>
        <v>0.140639506501442</v>
      </c>
    </row>
    <row r="2059" spans="30:32">
      <c r="AD2059" s="50">
        <v>474.6</v>
      </c>
      <c r="AE2059" s="51">
        <v>72.180000000000007</v>
      </c>
      <c r="AF2059" s="52">
        <f t="shared" si="276"/>
        <v>0.14158312227651157</v>
      </c>
    </row>
    <row r="2060" spans="30:32">
      <c r="AD2060" s="50">
        <v>474.5</v>
      </c>
      <c r="AE2060" s="51">
        <v>72.069999999999993</v>
      </c>
      <c r="AF2060" s="52">
        <f t="shared" si="276"/>
        <v>0.14224547794055784</v>
      </c>
    </row>
    <row r="2061" spans="30:32">
      <c r="AD2061" s="50">
        <v>474.4</v>
      </c>
      <c r="AE2061" s="51">
        <v>71.909000000000006</v>
      </c>
      <c r="AF2061" s="52">
        <f t="shared" si="276"/>
        <v>0.14321675070575257</v>
      </c>
    </row>
    <row r="2062" spans="30:32">
      <c r="AD2062" s="50">
        <v>474.3</v>
      </c>
      <c r="AE2062" s="51">
        <v>71.861000000000004</v>
      </c>
      <c r="AF2062" s="52">
        <f t="shared" si="276"/>
        <v>0.14350674355413406</v>
      </c>
    </row>
    <row r="2063" spans="30:32">
      <c r="AD2063" s="50">
        <v>474.2</v>
      </c>
      <c r="AE2063" s="51">
        <v>71.736000000000004</v>
      </c>
      <c r="AF2063" s="52">
        <f t="shared" si="276"/>
        <v>0.14426284324911329</v>
      </c>
    </row>
    <row r="2064" spans="30:32">
      <c r="AD2064" s="50">
        <v>474.1</v>
      </c>
      <c r="AE2064" s="51">
        <v>71.680999999999997</v>
      </c>
      <c r="AF2064" s="52">
        <f t="shared" si="276"/>
        <v>0.14459594459240818</v>
      </c>
    </row>
    <row r="2065" spans="30:32">
      <c r="AD2065" s="50">
        <v>474</v>
      </c>
      <c r="AE2065" s="51">
        <v>71.566000000000003</v>
      </c>
      <c r="AF2065" s="52">
        <f t="shared" si="276"/>
        <v>0.14529325589594014</v>
      </c>
    </row>
    <row r="2066" spans="30:32">
      <c r="AD2066" s="50">
        <v>473.9</v>
      </c>
      <c r="AE2066" s="51">
        <v>71.585999999999999</v>
      </c>
      <c r="AF2066" s="52">
        <f t="shared" si="276"/>
        <v>0.14517190391071361</v>
      </c>
    </row>
    <row r="2067" spans="30:32">
      <c r="AD2067" s="50">
        <v>473.8</v>
      </c>
      <c r="AE2067" s="51">
        <v>71.64</v>
      </c>
      <c r="AF2067" s="52">
        <f t="shared" si="276"/>
        <v>0.14484442282300605</v>
      </c>
    </row>
    <row r="2068" spans="30:32">
      <c r="AD2068" s="50">
        <v>473.7</v>
      </c>
      <c r="AE2068" s="51">
        <v>71.656999999999996</v>
      </c>
      <c r="AF2068" s="52">
        <f t="shared" si="276"/>
        <v>0.144741378010805</v>
      </c>
    </row>
    <row r="2069" spans="30:32">
      <c r="AD2069" s="50">
        <v>473.6</v>
      </c>
      <c r="AE2069" s="51">
        <v>71.739999999999995</v>
      </c>
      <c r="AF2069" s="52">
        <f t="shared" si="276"/>
        <v>0.14423862766005224</v>
      </c>
    </row>
    <row r="2070" spans="30:32">
      <c r="AD2070" s="50">
        <v>473.5</v>
      </c>
      <c r="AE2070" s="51">
        <v>71.796999999999997</v>
      </c>
      <c r="AF2070" s="52">
        <f t="shared" si="276"/>
        <v>0.14389370214579827</v>
      </c>
    </row>
    <row r="2071" spans="30:32">
      <c r="AD2071" s="50">
        <v>473.4</v>
      </c>
      <c r="AE2071" s="51">
        <v>71.902000000000001</v>
      </c>
      <c r="AF2071" s="52">
        <f t="shared" si="276"/>
        <v>0.14325902927103232</v>
      </c>
    </row>
    <row r="2072" spans="30:32">
      <c r="AD2072" s="50">
        <v>473.3</v>
      </c>
      <c r="AE2072" s="51">
        <v>72.043000000000006</v>
      </c>
      <c r="AF2072" s="52">
        <f t="shared" si="276"/>
        <v>0.14240821067318543</v>
      </c>
    </row>
    <row r="2073" spans="30:32">
      <c r="AD2073" s="50">
        <v>473.2</v>
      </c>
      <c r="AE2073" s="51">
        <v>72.158000000000001</v>
      </c>
      <c r="AF2073" s="52">
        <f t="shared" si="276"/>
        <v>0.14171551261967644</v>
      </c>
    </row>
    <row r="2074" spans="30:32">
      <c r="AD2074" s="50">
        <v>473.1</v>
      </c>
      <c r="AE2074" s="51">
        <v>72.266999999999996</v>
      </c>
      <c r="AF2074" s="52">
        <f t="shared" si="276"/>
        <v>0.14105997365460327</v>
      </c>
    </row>
    <row r="2075" spans="30:32">
      <c r="AD2075" s="50">
        <v>473</v>
      </c>
      <c r="AE2075" s="51">
        <v>72.376999999999995</v>
      </c>
      <c r="AF2075" s="52">
        <f t="shared" si="276"/>
        <v>0.14039942220111817</v>
      </c>
    </row>
    <row r="2076" spans="30:32">
      <c r="AD2076" s="50">
        <v>472.9</v>
      </c>
      <c r="AE2076" s="51">
        <v>72.495000000000005</v>
      </c>
      <c r="AF2076" s="52">
        <f t="shared" si="276"/>
        <v>0.13969194580543823</v>
      </c>
    </row>
    <row r="2077" spans="30:32">
      <c r="AD2077" s="50">
        <v>472.8</v>
      </c>
      <c r="AE2077" s="51">
        <v>72.587000000000003</v>
      </c>
      <c r="AF2077" s="52">
        <f t="shared" si="276"/>
        <v>0.13914115249282066</v>
      </c>
    </row>
    <row r="2078" spans="30:32">
      <c r="AD2078" s="50">
        <v>472.7</v>
      </c>
      <c r="AE2078" s="51">
        <v>72.679000000000002</v>
      </c>
      <c r="AF2078" s="52">
        <f t="shared" si="276"/>
        <v>0.13859105683826919</v>
      </c>
    </row>
    <row r="2079" spans="30:32">
      <c r="AD2079" s="50">
        <v>472.6</v>
      </c>
      <c r="AE2079" s="51">
        <v>72.843999999999994</v>
      </c>
      <c r="AF2079" s="52">
        <f t="shared" si="276"/>
        <v>0.13760621430173459</v>
      </c>
    </row>
    <row r="2080" spans="30:32">
      <c r="AD2080" s="50">
        <v>472.5</v>
      </c>
      <c r="AE2080" s="51">
        <v>72.965000000000003</v>
      </c>
      <c r="AF2080" s="52">
        <f t="shared" si="276"/>
        <v>0.13688541319380343</v>
      </c>
    </row>
    <row r="2081" spans="30:32">
      <c r="AD2081" s="50">
        <v>472.4</v>
      </c>
      <c r="AE2081" s="51">
        <v>73.132999999999996</v>
      </c>
      <c r="AF2081" s="52">
        <f t="shared" si="276"/>
        <v>0.13588661094984728</v>
      </c>
    </row>
    <row r="2082" spans="30:32">
      <c r="AD2082" s="50">
        <v>472.3</v>
      </c>
      <c r="AE2082" s="51">
        <v>73.260999999999996</v>
      </c>
      <c r="AF2082" s="52">
        <f t="shared" si="276"/>
        <v>0.13512715758632693</v>
      </c>
    </row>
    <row r="2083" spans="30:32">
      <c r="AD2083" s="50">
        <v>472.2</v>
      </c>
      <c r="AE2083" s="51">
        <v>73.361999999999995</v>
      </c>
      <c r="AF2083" s="52">
        <f t="shared" si="276"/>
        <v>0.13452883740995558</v>
      </c>
    </row>
    <row r="2084" spans="30:32">
      <c r="AD2084" s="50">
        <v>472.1</v>
      </c>
      <c r="AE2084" s="51">
        <v>73.540999999999997</v>
      </c>
      <c r="AF2084" s="52">
        <f t="shared" si="276"/>
        <v>0.133470468952754</v>
      </c>
    </row>
    <row r="2085" spans="30:32">
      <c r="AD2085" s="50">
        <v>472</v>
      </c>
      <c r="AE2085" s="51">
        <v>73.686999999999998</v>
      </c>
      <c r="AF2085" s="52">
        <f t="shared" si="276"/>
        <v>0.13260912443754705</v>
      </c>
    </row>
    <row r="2086" spans="30:32">
      <c r="AD2086" s="50">
        <v>471.9</v>
      </c>
      <c r="AE2086" s="51">
        <v>73.778000000000006</v>
      </c>
      <c r="AF2086" s="52">
        <f t="shared" si="276"/>
        <v>0.13207312195736803</v>
      </c>
    </row>
    <row r="2087" spans="30:32">
      <c r="AD2087" s="50">
        <v>471.8</v>
      </c>
      <c r="AE2087" s="51">
        <v>73.878</v>
      </c>
      <c r="AF2087" s="52">
        <f t="shared" si="276"/>
        <v>0.13148487014463828</v>
      </c>
    </row>
    <row r="2088" spans="30:32">
      <c r="AD2088" s="50">
        <v>471.7</v>
      </c>
      <c r="AE2088" s="51">
        <v>73.944999999999993</v>
      </c>
      <c r="AF2088" s="52">
        <f t="shared" si="276"/>
        <v>0.13109118672216627</v>
      </c>
    </row>
    <row r="2089" spans="30:32">
      <c r="AD2089" s="50">
        <v>471.6</v>
      </c>
      <c r="AE2089" s="51">
        <v>74.069000000000003</v>
      </c>
      <c r="AF2089" s="52">
        <f t="shared" si="276"/>
        <v>0.13036351868597212</v>
      </c>
    </row>
    <row r="2090" spans="30:32">
      <c r="AD2090" s="50">
        <v>471.5</v>
      </c>
      <c r="AE2090" s="51">
        <v>74.215000000000003</v>
      </c>
      <c r="AF2090" s="52">
        <f t="shared" si="276"/>
        <v>0.12950830821353454</v>
      </c>
    </row>
    <row r="2091" spans="30:32">
      <c r="AD2091" s="50">
        <v>471.4</v>
      </c>
      <c r="AE2091" s="51">
        <v>74.370999999999995</v>
      </c>
      <c r="AF2091" s="52">
        <f t="shared" si="276"/>
        <v>0.12859637890565712</v>
      </c>
    </row>
    <row r="2092" spans="30:32">
      <c r="AD2092" s="50">
        <v>471.3</v>
      </c>
      <c r="AE2092" s="51">
        <v>74.483000000000004</v>
      </c>
      <c r="AF2092" s="52">
        <f t="shared" si="276"/>
        <v>0.12794283931448477</v>
      </c>
    </row>
    <row r="2093" spans="30:32">
      <c r="AD2093" s="50">
        <v>471.2</v>
      </c>
      <c r="AE2093" s="51">
        <v>74.644999999999996</v>
      </c>
      <c r="AF2093" s="52">
        <f t="shared" si="276"/>
        <v>0.12699927762595575</v>
      </c>
    </row>
    <row r="2094" spans="30:32">
      <c r="AD2094" s="50">
        <v>471.1</v>
      </c>
      <c r="AE2094" s="51">
        <v>74.787999999999997</v>
      </c>
      <c r="AF2094" s="52">
        <f t="shared" si="276"/>
        <v>0.12616808063640794</v>
      </c>
    </row>
    <row r="2095" spans="30:32">
      <c r="AD2095" s="50">
        <v>471</v>
      </c>
      <c r="AE2095" s="51">
        <v>74.992999999999995</v>
      </c>
      <c r="AF2095" s="52">
        <f t="shared" si="276"/>
        <v>0.12497927265165572</v>
      </c>
    </row>
    <row r="2096" spans="30:32">
      <c r="AD2096" s="50">
        <v>470.9</v>
      </c>
      <c r="AE2096" s="51">
        <v>75.182000000000002</v>
      </c>
      <c r="AF2096" s="52">
        <f t="shared" si="276"/>
        <v>0.12388612531799574</v>
      </c>
    </row>
    <row r="2097" spans="30:32">
      <c r="AD2097" s="50">
        <v>470.8</v>
      </c>
      <c r="AE2097" s="51">
        <v>75.307000000000002</v>
      </c>
      <c r="AF2097" s="52">
        <f t="shared" si="276"/>
        <v>0.12316465301473413</v>
      </c>
    </row>
    <row r="2098" spans="30:32">
      <c r="AD2098" s="50">
        <v>470.7</v>
      </c>
      <c r="AE2098" s="51">
        <v>75.492999999999995</v>
      </c>
      <c r="AF2098" s="52">
        <f t="shared" si="276"/>
        <v>0.12209331595110358</v>
      </c>
    </row>
    <row r="2099" spans="30:32">
      <c r="AD2099" s="50">
        <v>470.6</v>
      </c>
      <c r="AE2099" s="51">
        <v>75.653000000000006</v>
      </c>
      <c r="AF2099" s="52">
        <f t="shared" si="276"/>
        <v>0.12117384546481803</v>
      </c>
    </row>
    <row r="2100" spans="30:32">
      <c r="AD2100" s="50">
        <v>470.5</v>
      </c>
      <c r="AE2100" s="51">
        <v>75.826999999999998</v>
      </c>
      <c r="AF2100" s="52">
        <f t="shared" si="276"/>
        <v>0.1201761259891574</v>
      </c>
    </row>
    <row r="2101" spans="30:32">
      <c r="AD2101" s="50">
        <v>470.4</v>
      </c>
      <c r="AE2101" s="51">
        <v>75.878</v>
      </c>
      <c r="AF2101" s="52">
        <f t="shared" si="276"/>
        <v>0.11988412481040303</v>
      </c>
    </row>
    <row r="2102" spans="30:32">
      <c r="AD2102" s="50">
        <v>470.3</v>
      </c>
      <c r="AE2102" s="51">
        <v>75.945999999999998</v>
      </c>
      <c r="AF2102" s="52">
        <f t="shared" si="276"/>
        <v>0.11949509505563227</v>
      </c>
    </row>
    <row r="2103" spans="30:32">
      <c r="AD2103" s="50">
        <v>470.2</v>
      </c>
      <c r="AE2103" s="51">
        <v>76.052999999999997</v>
      </c>
      <c r="AF2103" s="52">
        <f t="shared" si="276"/>
        <v>0.11888365001665689</v>
      </c>
    </row>
    <row r="2104" spans="30:32">
      <c r="AD2104" s="50">
        <v>470.1</v>
      </c>
      <c r="AE2104" s="51">
        <v>76.168999999999997</v>
      </c>
      <c r="AF2104" s="52">
        <f t="shared" si="276"/>
        <v>0.11822174609143551</v>
      </c>
    </row>
    <row r="2105" spans="30:32">
      <c r="AD2105" s="50">
        <v>470</v>
      </c>
      <c r="AE2105" s="51">
        <v>76.281000000000006</v>
      </c>
      <c r="AF2105" s="52">
        <f t="shared" si="276"/>
        <v>0.11758362223805061</v>
      </c>
    </row>
    <row r="2106" spans="30:32">
      <c r="AD2106" s="50">
        <v>469.9</v>
      </c>
      <c r="AE2106" s="51">
        <v>76.272999999999996</v>
      </c>
      <c r="AF2106" s="52">
        <f t="shared" si="276"/>
        <v>0.1176291714318891</v>
      </c>
    </row>
    <row r="2107" spans="30:32">
      <c r="AD2107" s="50">
        <v>469.8</v>
      </c>
      <c r="AE2107" s="51">
        <v>76.278999999999996</v>
      </c>
      <c r="AF2107" s="52">
        <f t="shared" si="276"/>
        <v>0.11759500908865184</v>
      </c>
    </row>
    <row r="2108" spans="30:32">
      <c r="AD2108" s="50">
        <v>469.7</v>
      </c>
      <c r="AE2108" s="51">
        <v>76.179000000000002</v>
      </c>
      <c r="AF2108" s="52">
        <f t="shared" si="276"/>
        <v>0.11816473261143881</v>
      </c>
    </row>
    <row r="2109" spans="30:32">
      <c r="AD2109" s="50">
        <v>469.6</v>
      </c>
      <c r="AE2109" s="51">
        <v>76.147999999999996</v>
      </c>
      <c r="AF2109" s="52">
        <f t="shared" si="276"/>
        <v>0.11834149876746979</v>
      </c>
    </row>
    <row r="2110" spans="30:32">
      <c r="AD2110" s="50">
        <v>469.5</v>
      </c>
      <c r="AE2110" s="51">
        <v>76.091999999999999</v>
      </c>
      <c r="AF2110" s="52">
        <f t="shared" si="276"/>
        <v>0.11866100076541361</v>
      </c>
    </row>
    <row r="2111" spans="30:32">
      <c r="AD2111" s="50">
        <v>469.4</v>
      </c>
      <c r="AE2111" s="51">
        <v>75.915000000000006</v>
      </c>
      <c r="AF2111" s="52">
        <f t="shared" si="276"/>
        <v>0.11967240363553104</v>
      </c>
    </row>
    <row r="2112" spans="30:32">
      <c r="AD2112" s="50">
        <v>469.3</v>
      </c>
      <c r="AE2112" s="51">
        <v>75.715000000000003</v>
      </c>
      <c r="AF2112" s="52">
        <f t="shared" si="276"/>
        <v>0.12081807331503989</v>
      </c>
    </row>
    <row r="2113" spans="30:32">
      <c r="AD2113" s="50">
        <v>469.2</v>
      </c>
      <c r="AE2113" s="51">
        <v>75.468999999999994</v>
      </c>
      <c r="AF2113" s="52">
        <f t="shared" si="276"/>
        <v>0.12223140457808908</v>
      </c>
    </row>
    <row r="2114" spans="30:32">
      <c r="AD2114" s="50">
        <v>469.1</v>
      </c>
      <c r="AE2114" s="51">
        <v>75.248000000000005</v>
      </c>
      <c r="AF2114" s="52">
        <f t="shared" si="276"/>
        <v>0.12350503859799571</v>
      </c>
    </row>
    <row r="2115" spans="30:32">
      <c r="AD2115" s="50">
        <v>469</v>
      </c>
      <c r="AE2115" s="51">
        <v>74.957999999999998</v>
      </c>
      <c r="AF2115" s="52">
        <f t="shared" si="276"/>
        <v>0.12518200964097423</v>
      </c>
    </row>
    <row r="2116" spans="30:32">
      <c r="AD2116" s="50">
        <v>468.9</v>
      </c>
      <c r="AE2116" s="51">
        <v>74.671000000000006</v>
      </c>
      <c r="AF2116" s="52">
        <f t="shared" si="276"/>
        <v>0.12684803252638688</v>
      </c>
    </row>
    <row r="2117" spans="30:32">
      <c r="AD2117" s="50">
        <v>468.8</v>
      </c>
      <c r="AE2117" s="51">
        <v>74.275000000000006</v>
      </c>
      <c r="AF2117" s="52">
        <f t="shared" ref="AF2117:AF2180" si="277">-LOG(AE2117/100)</f>
        <v>0.12915733952429834</v>
      </c>
    </row>
    <row r="2118" spans="30:32">
      <c r="AD2118" s="50">
        <v>468.7</v>
      </c>
      <c r="AE2118" s="51">
        <v>73.897000000000006</v>
      </c>
      <c r="AF2118" s="52">
        <f t="shared" si="277"/>
        <v>0.1313731923208977</v>
      </c>
    </row>
    <row r="2119" spans="30:32">
      <c r="AD2119" s="50">
        <v>468.6</v>
      </c>
      <c r="AE2119" s="51">
        <v>73.453000000000003</v>
      </c>
      <c r="AF2119" s="52">
        <f t="shared" si="277"/>
        <v>0.13399046186366512</v>
      </c>
    </row>
    <row r="2120" spans="30:32">
      <c r="AD2120" s="50">
        <v>468.5</v>
      </c>
      <c r="AE2120" s="51">
        <v>73.003</v>
      </c>
      <c r="AF2120" s="52">
        <f t="shared" si="277"/>
        <v>0.13665929252783363</v>
      </c>
    </row>
    <row r="2121" spans="30:32">
      <c r="AD2121" s="50">
        <v>468.4</v>
      </c>
      <c r="AE2121" s="51">
        <v>72.588999999999999</v>
      </c>
      <c r="AF2121" s="52">
        <f t="shared" si="277"/>
        <v>0.13912918647965233</v>
      </c>
    </row>
    <row r="2122" spans="30:32">
      <c r="AD2122" s="50">
        <v>468.3</v>
      </c>
      <c r="AE2122" s="51">
        <v>72.09</v>
      </c>
      <c r="AF2122" s="52">
        <f t="shared" si="277"/>
        <v>0.14212497447643749</v>
      </c>
    </row>
    <row r="2123" spans="30:32">
      <c r="AD2123" s="50">
        <v>468.2</v>
      </c>
      <c r="AE2123" s="51">
        <v>71.680000000000007</v>
      </c>
      <c r="AF2123" s="52">
        <f t="shared" si="277"/>
        <v>0.14460200334593115</v>
      </c>
    </row>
    <row r="2124" spans="30:32">
      <c r="AD2124" s="50">
        <v>468.1</v>
      </c>
      <c r="AE2124" s="51">
        <v>71.174000000000007</v>
      </c>
      <c r="AF2124" s="52">
        <f t="shared" si="277"/>
        <v>0.14767862600795245</v>
      </c>
    </row>
    <row r="2125" spans="30:32">
      <c r="AD2125" s="50">
        <v>468</v>
      </c>
      <c r="AE2125" s="51">
        <v>70.655000000000001</v>
      </c>
      <c r="AF2125" s="52">
        <f t="shared" si="277"/>
        <v>0.15085709927084989</v>
      </c>
    </row>
    <row r="2126" spans="30:32">
      <c r="AD2126" s="50">
        <v>467.9</v>
      </c>
      <c r="AE2126" s="51">
        <v>70.114999999999995</v>
      </c>
      <c r="AF2126" s="52">
        <f t="shared" si="277"/>
        <v>0.15418906162891388</v>
      </c>
    </row>
    <row r="2127" spans="30:32">
      <c r="AD2127" s="50">
        <v>467.8</v>
      </c>
      <c r="AE2127" s="51">
        <v>69.602999999999994</v>
      </c>
      <c r="AF2127" s="52">
        <f t="shared" si="277"/>
        <v>0.15737204120312856</v>
      </c>
    </row>
    <row r="2128" spans="30:32">
      <c r="AD2128" s="50">
        <v>467.7</v>
      </c>
      <c r="AE2128" s="51">
        <v>69.085999999999999</v>
      </c>
      <c r="AF2128" s="52">
        <f t="shared" si="277"/>
        <v>0.16060995173956777</v>
      </c>
    </row>
    <row r="2129" spans="30:32">
      <c r="AD2129" s="50">
        <v>467.6</v>
      </c>
      <c r="AE2129" s="51">
        <v>68.552999999999997</v>
      </c>
      <c r="AF2129" s="52">
        <f t="shared" si="277"/>
        <v>0.16397353496729047</v>
      </c>
    </row>
    <row r="2130" spans="30:32">
      <c r="AD2130" s="50">
        <v>467.5</v>
      </c>
      <c r="AE2130" s="51">
        <v>67.998999999999995</v>
      </c>
      <c r="AF2130" s="52">
        <f t="shared" si="277"/>
        <v>0.16749747402428247</v>
      </c>
    </row>
    <row r="2131" spans="30:32">
      <c r="AD2131" s="50">
        <v>467.4</v>
      </c>
      <c r="AE2131" s="51">
        <v>67.492999999999995</v>
      </c>
      <c r="AF2131" s="52">
        <f t="shared" si="277"/>
        <v>0.17074126745070897</v>
      </c>
    </row>
    <row r="2132" spans="30:32">
      <c r="AD2132" s="50">
        <v>467.3</v>
      </c>
      <c r="AE2132" s="51">
        <v>67.001999999999995</v>
      </c>
      <c r="AF2132" s="52">
        <f t="shared" si="277"/>
        <v>0.17391223347827733</v>
      </c>
    </row>
    <row r="2133" spans="30:32">
      <c r="AD2133" s="50">
        <v>467.2</v>
      </c>
      <c r="AE2133" s="51">
        <v>66.518000000000001</v>
      </c>
      <c r="AF2133" s="52">
        <f t="shared" si="277"/>
        <v>0.17706081720990907</v>
      </c>
    </row>
    <row r="2134" spans="30:32">
      <c r="AD2134" s="50">
        <v>467.1</v>
      </c>
      <c r="AE2134" s="51">
        <v>66.024000000000001</v>
      </c>
      <c r="AF2134" s="52">
        <f t="shared" si="277"/>
        <v>0.18029816789871042</v>
      </c>
    </row>
    <row r="2135" spans="30:32">
      <c r="AD2135" s="50">
        <v>467</v>
      </c>
      <c r="AE2135" s="51">
        <v>65.515000000000001</v>
      </c>
      <c r="AF2135" s="52">
        <f t="shared" si="277"/>
        <v>0.18365925464307534</v>
      </c>
    </row>
    <row r="2136" spans="30:32">
      <c r="AD2136" s="50">
        <v>466.9</v>
      </c>
      <c r="AE2136" s="51">
        <v>65.046999999999997</v>
      </c>
      <c r="AF2136" s="52">
        <f t="shared" si="277"/>
        <v>0.18677272851807619</v>
      </c>
    </row>
    <row r="2137" spans="30:32">
      <c r="AD2137" s="50">
        <v>466.8</v>
      </c>
      <c r="AE2137" s="51">
        <v>64.588999999999999</v>
      </c>
      <c r="AF2137" s="52">
        <f t="shared" si="277"/>
        <v>0.18984143937454465</v>
      </c>
    </row>
    <row r="2138" spans="30:32">
      <c r="AD2138" s="50">
        <v>466.7</v>
      </c>
      <c r="AE2138" s="51">
        <v>64.103999999999999</v>
      </c>
      <c r="AF2138" s="52">
        <f t="shared" si="277"/>
        <v>0.19311487026702118</v>
      </c>
    </row>
    <row r="2139" spans="30:32">
      <c r="AD2139" s="50">
        <v>466.6</v>
      </c>
      <c r="AE2139" s="51">
        <v>63.62</v>
      </c>
      <c r="AF2139" s="52">
        <f t="shared" si="277"/>
        <v>0.19640633522865547</v>
      </c>
    </row>
    <row r="2140" spans="30:32">
      <c r="AD2140" s="50">
        <v>466.5</v>
      </c>
      <c r="AE2140" s="51">
        <v>63.064999999999998</v>
      </c>
      <c r="AF2140" s="52">
        <f t="shared" si="277"/>
        <v>0.20021159993244475</v>
      </c>
    </row>
    <row r="2141" spans="30:32">
      <c r="AD2141" s="50">
        <v>466.4</v>
      </c>
      <c r="AE2141" s="51">
        <v>62.598999999999997</v>
      </c>
      <c r="AF2141" s="52">
        <f t="shared" si="277"/>
        <v>0.20343260445651518</v>
      </c>
    </row>
    <row r="2142" spans="30:32">
      <c r="AD2142" s="50">
        <v>466.3</v>
      </c>
      <c r="AE2142" s="51">
        <v>62.079000000000001</v>
      </c>
      <c r="AF2142" s="52">
        <f t="shared" si="277"/>
        <v>0.20705528752918184</v>
      </c>
    </row>
    <row r="2143" spans="30:32">
      <c r="AD2143" s="50">
        <v>466.2</v>
      </c>
      <c r="AE2143" s="51">
        <v>61.494999999999997</v>
      </c>
      <c r="AF2143" s="52">
        <f t="shared" si="277"/>
        <v>0.21116019415442941</v>
      </c>
    </row>
    <row r="2144" spans="30:32">
      <c r="AD2144" s="50">
        <v>466.1</v>
      </c>
      <c r="AE2144" s="51">
        <v>60.892000000000003</v>
      </c>
      <c r="AF2144" s="52">
        <f t="shared" si="277"/>
        <v>0.21543976129283771</v>
      </c>
    </row>
    <row r="2145" spans="30:32">
      <c r="AD2145" s="50">
        <v>466</v>
      </c>
      <c r="AE2145" s="51">
        <v>60.218000000000004</v>
      </c>
      <c r="AF2145" s="52">
        <f t="shared" si="277"/>
        <v>0.22027367265899048</v>
      </c>
    </row>
    <row r="2146" spans="30:32">
      <c r="AD2146" s="50">
        <v>465.9</v>
      </c>
      <c r="AE2146" s="51">
        <v>59.537999999999997</v>
      </c>
      <c r="AF2146" s="52">
        <f t="shared" si="277"/>
        <v>0.22520575826088388</v>
      </c>
    </row>
    <row r="2147" spans="30:32">
      <c r="AD2147" s="50">
        <v>465.8</v>
      </c>
      <c r="AE2147" s="51">
        <v>58.718000000000004</v>
      </c>
      <c r="AF2147" s="52">
        <f t="shared" si="277"/>
        <v>0.23122874539028607</v>
      </c>
    </row>
    <row r="2148" spans="30:32">
      <c r="AD2148" s="50">
        <v>465.7</v>
      </c>
      <c r="AE2148" s="51">
        <v>57.802999999999997</v>
      </c>
      <c r="AF2148" s="52">
        <f t="shared" si="277"/>
        <v>0.238049620928346</v>
      </c>
    </row>
    <row r="2149" spans="30:32">
      <c r="AD2149" s="50">
        <v>465.6</v>
      </c>
      <c r="AE2149" s="51">
        <v>56.765999999999998</v>
      </c>
      <c r="AF2149" s="52">
        <f t="shared" si="277"/>
        <v>0.24591170713324578</v>
      </c>
    </row>
    <row r="2150" spans="30:32">
      <c r="AD2150" s="50">
        <v>465.5</v>
      </c>
      <c r="AE2150" s="51">
        <v>55.667000000000002</v>
      </c>
      <c r="AF2150" s="52">
        <f t="shared" si="277"/>
        <v>0.25440218301410533</v>
      </c>
    </row>
    <row r="2151" spans="30:32">
      <c r="AD2151" s="50">
        <v>465.4</v>
      </c>
      <c r="AE2151" s="51">
        <v>54.412999999999997</v>
      </c>
      <c r="AF2151" s="52">
        <f t="shared" si="277"/>
        <v>0.26429732909265202</v>
      </c>
    </row>
    <row r="2152" spans="30:32">
      <c r="AD2152" s="50">
        <v>465.3</v>
      </c>
      <c r="AE2152" s="51">
        <v>53.088000000000001</v>
      </c>
      <c r="AF2152" s="52">
        <f t="shared" si="277"/>
        <v>0.27500363565573333</v>
      </c>
    </row>
    <row r="2153" spans="30:32">
      <c r="AD2153" s="50">
        <v>465.2</v>
      </c>
      <c r="AE2153" s="51">
        <v>51.595999999999997</v>
      </c>
      <c r="AF2153" s="52">
        <f t="shared" si="277"/>
        <v>0.28738396591665633</v>
      </c>
    </row>
    <row r="2154" spans="30:32">
      <c r="AD2154" s="50">
        <v>465.1</v>
      </c>
      <c r="AE2154" s="51">
        <v>50.143000000000001</v>
      </c>
      <c r="AF2154" s="52">
        <f t="shared" si="277"/>
        <v>0.299789686243979</v>
      </c>
    </row>
    <row r="2155" spans="30:32">
      <c r="AD2155" s="50">
        <v>465</v>
      </c>
      <c r="AE2155" s="51">
        <v>48.576000000000001</v>
      </c>
      <c r="AF2155" s="52">
        <f t="shared" si="277"/>
        <v>0.31357825012063245</v>
      </c>
    </row>
    <row r="2156" spans="30:32">
      <c r="AD2156" s="50">
        <v>464.9</v>
      </c>
      <c r="AE2156" s="51">
        <v>46.95</v>
      </c>
      <c r="AF2156" s="52">
        <f t="shared" si="277"/>
        <v>0.32836440339787026</v>
      </c>
    </row>
    <row r="2157" spans="30:32">
      <c r="AD2157" s="50">
        <v>464.8</v>
      </c>
      <c r="AE2157" s="51">
        <v>45.228000000000002</v>
      </c>
      <c r="AF2157" s="52">
        <f t="shared" si="277"/>
        <v>0.34459261650277018</v>
      </c>
    </row>
    <row r="2158" spans="30:32">
      <c r="AD2158" s="50">
        <v>464.7</v>
      </c>
      <c r="AE2158" s="51">
        <v>43.453000000000003</v>
      </c>
      <c r="AF2158" s="52">
        <f t="shared" si="277"/>
        <v>0.36198023444042254</v>
      </c>
    </row>
    <row r="2159" spans="30:32">
      <c r="AD2159" s="50">
        <v>464.6</v>
      </c>
      <c r="AE2159" s="51">
        <v>41.77</v>
      </c>
      <c r="AF2159" s="52">
        <f t="shared" si="277"/>
        <v>0.37913552473487888</v>
      </c>
    </row>
    <row r="2160" spans="30:32">
      <c r="AD2160" s="50">
        <v>464.5</v>
      </c>
      <c r="AE2160" s="51">
        <v>40.017000000000003</v>
      </c>
      <c r="AF2160" s="52">
        <f t="shared" si="277"/>
        <v>0.39775547272833967</v>
      </c>
    </row>
    <row r="2161" spans="30:32">
      <c r="AD2161" s="50">
        <v>464.4</v>
      </c>
      <c r="AE2161" s="51">
        <v>38.261000000000003</v>
      </c>
      <c r="AF2161" s="52">
        <f t="shared" si="277"/>
        <v>0.41724368332057776</v>
      </c>
    </row>
    <row r="2162" spans="30:32">
      <c r="AD2162" s="50">
        <v>464.3</v>
      </c>
      <c r="AE2162" s="51">
        <v>36.518999999999998</v>
      </c>
      <c r="AF2162" s="52">
        <f t="shared" si="277"/>
        <v>0.4374811232633683</v>
      </c>
    </row>
    <row r="2163" spans="30:32">
      <c r="AD2163" s="50">
        <v>464.2</v>
      </c>
      <c r="AE2163" s="51">
        <v>34.755000000000003</v>
      </c>
      <c r="AF2163" s="52">
        <f t="shared" si="277"/>
        <v>0.45898270715434314</v>
      </c>
    </row>
    <row r="2164" spans="30:32">
      <c r="AD2164" s="50">
        <v>464.1</v>
      </c>
      <c r="AE2164" s="51">
        <v>33.148000000000003</v>
      </c>
      <c r="AF2164" s="52">
        <f t="shared" si="277"/>
        <v>0.47954266982833738</v>
      </c>
    </row>
    <row r="2165" spans="30:32">
      <c r="AD2165" s="50">
        <v>464</v>
      </c>
      <c r="AE2165" s="51">
        <v>31.471</v>
      </c>
      <c r="AF2165" s="52">
        <f t="shared" si="277"/>
        <v>0.50208945703651231</v>
      </c>
    </row>
    <row r="2166" spans="30:32">
      <c r="AD2166" s="50">
        <v>463.9</v>
      </c>
      <c r="AE2166" s="51">
        <v>29.934000000000001</v>
      </c>
      <c r="AF2166" s="52">
        <f t="shared" si="277"/>
        <v>0.52383524567717465</v>
      </c>
    </row>
    <row r="2167" spans="30:32">
      <c r="AD2167" s="50">
        <v>463.8</v>
      </c>
      <c r="AE2167" s="51">
        <v>28.414999999999999</v>
      </c>
      <c r="AF2167" s="52">
        <f t="shared" si="277"/>
        <v>0.54645233961925088</v>
      </c>
    </row>
    <row r="2168" spans="30:32">
      <c r="AD2168" s="50">
        <v>463.7</v>
      </c>
      <c r="AE2168" s="51">
        <v>27.084</v>
      </c>
      <c r="AF2168" s="52">
        <f t="shared" si="277"/>
        <v>0.56728719487461321</v>
      </c>
    </row>
    <row r="2169" spans="30:32">
      <c r="AD2169" s="50">
        <v>463.6</v>
      </c>
      <c r="AE2169" s="51">
        <v>25.821999999999999</v>
      </c>
      <c r="AF2169" s="52">
        <f t="shared" si="277"/>
        <v>0.58801012321114066</v>
      </c>
    </row>
    <row r="2170" spans="30:32">
      <c r="AD2170" s="50">
        <v>463.5</v>
      </c>
      <c r="AE2170" s="51">
        <v>24.556999999999999</v>
      </c>
      <c r="AF2170" s="52">
        <f t="shared" si="277"/>
        <v>0.60982468977132964</v>
      </c>
    </row>
    <row r="2171" spans="30:32">
      <c r="AD2171" s="50">
        <v>463.4</v>
      </c>
      <c r="AE2171" s="51">
        <v>23.353000000000002</v>
      </c>
      <c r="AF2171" s="52">
        <f t="shared" si="277"/>
        <v>0.63165732067577618</v>
      </c>
    </row>
    <row r="2172" spans="30:32">
      <c r="AD2172" s="50">
        <v>463.3</v>
      </c>
      <c r="AE2172" s="51">
        <v>22.306999999999999</v>
      </c>
      <c r="AF2172" s="52">
        <f t="shared" si="277"/>
        <v>0.65155883272163884</v>
      </c>
    </row>
    <row r="2173" spans="30:32">
      <c r="AD2173" s="50">
        <v>463.2</v>
      </c>
      <c r="AE2173" s="51">
        <v>21.35</v>
      </c>
      <c r="AF2173" s="52">
        <f t="shared" si="277"/>
        <v>0.6706021206389573</v>
      </c>
    </row>
    <row r="2174" spans="30:32">
      <c r="AD2174" s="50">
        <v>463.1</v>
      </c>
      <c r="AE2174" s="51">
        <v>20.452999999999999</v>
      </c>
      <c r="AF2174" s="52">
        <f t="shared" si="277"/>
        <v>0.68924298164739584</v>
      </c>
    </row>
    <row r="2175" spans="30:32">
      <c r="AD2175" s="50">
        <v>463</v>
      </c>
      <c r="AE2175" s="51">
        <v>19.622</v>
      </c>
      <c r="AF2175" s="52">
        <f t="shared" si="277"/>
        <v>0.70725672862292932</v>
      </c>
    </row>
    <row r="2176" spans="30:32">
      <c r="AD2176" s="50">
        <v>462.9</v>
      </c>
      <c r="AE2176" s="51">
        <v>18.853999999999999</v>
      </c>
      <c r="AF2176" s="52">
        <f t="shared" si="277"/>
        <v>0.72459649725459563</v>
      </c>
    </row>
    <row r="2177" spans="30:32">
      <c r="AD2177" s="50">
        <v>462.8</v>
      </c>
      <c r="AE2177" s="51">
        <v>18.161999999999999</v>
      </c>
      <c r="AF2177" s="52">
        <f t="shared" si="277"/>
        <v>0.74083632865978344</v>
      </c>
    </row>
    <row r="2178" spans="30:32">
      <c r="AD2178" s="50">
        <v>462.7</v>
      </c>
      <c r="AE2178" s="51">
        <v>17.507000000000001</v>
      </c>
      <c r="AF2178" s="52">
        <f t="shared" si="277"/>
        <v>0.75678826825524059</v>
      </c>
    </row>
    <row r="2179" spans="30:32">
      <c r="AD2179" s="50">
        <v>462.6</v>
      </c>
      <c r="AE2179" s="51">
        <v>16.888000000000002</v>
      </c>
      <c r="AF2179" s="52">
        <f t="shared" si="277"/>
        <v>0.77242177970039994</v>
      </c>
    </row>
    <row r="2180" spans="30:32">
      <c r="AD2180" s="50">
        <v>462.5</v>
      </c>
      <c r="AE2180" s="51">
        <v>16.297000000000001</v>
      </c>
      <c r="AF2180" s="52">
        <f t="shared" si="277"/>
        <v>0.78789233445234108</v>
      </c>
    </row>
    <row r="2181" spans="30:32">
      <c r="AD2181" s="50">
        <v>462.4</v>
      </c>
      <c r="AE2181" s="51">
        <v>15.769</v>
      </c>
      <c r="AF2181" s="52">
        <f t="shared" ref="AF2181:AF2244" si="278">-LOG(AE2181/100)</f>
        <v>0.80219584682659029</v>
      </c>
    </row>
    <row r="2182" spans="30:32">
      <c r="AD2182" s="50">
        <v>462.3</v>
      </c>
      <c r="AE2182" s="51">
        <v>15.238</v>
      </c>
      <c r="AF2182" s="52">
        <f t="shared" si="278"/>
        <v>0.81707203076300761</v>
      </c>
    </row>
    <row r="2183" spans="30:32">
      <c r="AD2183" s="50">
        <v>462.2</v>
      </c>
      <c r="AE2183" s="51">
        <v>14.702999999999999</v>
      </c>
      <c r="AF2183" s="52">
        <f t="shared" si="278"/>
        <v>0.83259404276770799</v>
      </c>
    </row>
    <row r="2184" spans="30:32">
      <c r="AD2184" s="50">
        <v>462.1</v>
      </c>
      <c r="AE2184" s="51">
        <v>14.138999999999999</v>
      </c>
      <c r="AF2184" s="52">
        <f t="shared" si="278"/>
        <v>0.84958130552070188</v>
      </c>
    </row>
    <row r="2185" spans="30:32">
      <c r="AD2185" s="50">
        <v>462</v>
      </c>
      <c r="AE2185" s="51">
        <v>13.586</v>
      </c>
      <c r="AF2185" s="52">
        <f t="shared" si="278"/>
        <v>0.86690838974529183</v>
      </c>
    </row>
    <row r="2186" spans="30:32">
      <c r="AD2186" s="50">
        <v>461.9</v>
      </c>
      <c r="AE2186" s="51">
        <v>13.022</v>
      </c>
      <c r="AF2186" s="52">
        <f t="shared" si="278"/>
        <v>0.88532230898912212</v>
      </c>
    </row>
    <row r="2187" spans="30:32">
      <c r="AD2187" s="50">
        <v>461.8</v>
      </c>
      <c r="AE2187" s="51">
        <v>12.449</v>
      </c>
      <c r="AF2187" s="52">
        <f t="shared" si="278"/>
        <v>0.90486553306016315</v>
      </c>
    </row>
    <row r="2188" spans="30:32">
      <c r="AD2188" s="50">
        <v>461.7</v>
      </c>
      <c r="AE2188" s="51">
        <v>11.864000000000001</v>
      </c>
      <c r="AF2188" s="52">
        <f t="shared" si="278"/>
        <v>0.92576886197967434</v>
      </c>
    </row>
    <row r="2189" spans="30:32">
      <c r="AD2189" s="50">
        <v>461.6</v>
      </c>
      <c r="AE2189" s="51">
        <v>11.243</v>
      </c>
      <c r="AF2189" s="52">
        <f t="shared" si="278"/>
        <v>0.94911778933597057</v>
      </c>
    </row>
    <row r="2190" spans="30:32">
      <c r="AD2190" s="50">
        <v>461.5</v>
      </c>
      <c r="AE2190" s="51">
        <v>10.616</v>
      </c>
      <c r="AF2190" s="52">
        <f t="shared" si="278"/>
        <v>0.97403909014362089</v>
      </c>
    </row>
    <row r="2191" spans="30:32">
      <c r="AD2191" s="50">
        <v>461.4</v>
      </c>
      <c r="AE2191" s="51">
        <v>9.9939999999999998</v>
      </c>
      <c r="AF2191" s="52">
        <f t="shared" si="278"/>
        <v>1.0002606548934321</v>
      </c>
    </row>
    <row r="2192" spans="30:32">
      <c r="AD2192" s="50">
        <v>461.3</v>
      </c>
      <c r="AE2192" s="51">
        <v>9.3787000000000003</v>
      </c>
      <c r="AF2192" s="52">
        <f t="shared" si="278"/>
        <v>1.0278573558590627</v>
      </c>
    </row>
    <row r="2193" spans="30:32">
      <c r="AD2193" s="50">
        <v>461.2</v>
      </c>
      <c r="AE2193" s="51">
        <v>8.7713000000000001</v>
      </c>
      <c r="AF2193" s="52">
        <f t="shared" si="278"/>
        <v>1.0569360347997729</v>
      </c>
    </row>
    <row r="2194" spans="30:32">
      <c r="AD2194" s="50">
        <v>461.1</v>
      </c>
      <c r="AE2194" s="51">
        <v>8.1963000000000008</v>
      </c>
      <c r="AF2194" s="52">
        <f t="shared" si="278"/>
        <v>1.086382153984832</v>
      </c>
    </row>
    <row r="2195" spans="30:32">
      <c r="AD2195" s="50">
        <v>461</v>
      </c>
      <c r="AE2195" s="51">
        <v>7.6722000000000001</v>
      </c>
      <c r="AF2195" s="52">
        <f t="shared" si="278"/>
        <v>1.1150800844395505</v>
      </c>
    </row>
    <row r="2196" spans="30:32">
      <c r="AD2196" s="50">
        <v>460.9</v>
      </c>
      <c r="AE2196" s="51">
        <v>7.1829000000000001</v>
      </c>
      <c r="AF2196" s="52">
        <f t="shared" si="278"/>
        <v>1.1437001797522086</v>
      </c>
    </row>
    <row r="2197" spans="30:32">
      <c r="AD2197" s="50">
        <v>460.8</v>
      </c>
      <c r="AE2197" s="51">
        <v>6.7389999999999999</v>
      </c>
      <c r="AF2197" s="52">
        <f t="shared" si="278"/>
        <v>1.1714045436282976</v>
      </c>
    </row>
    <row r="2198" spans="30:32">
      <c r="AD2198" s="50">
        <v>460.7</v>
      </c>
      <c r="AE2198" s="51">
        <v>6.3391999999999999</v>
      </c>
      <c r="AF2198" s="52">
        <f t="shared" si="278"/>
        <v>1.1979655461415468</v>
      </c>
    </row>
    <row r="2199" spans="30:32">
      <c r="AD2199" s="50">
        <v>460.6</v>
      </c>
      <c r="AE2199" s="51">
        <v>6.0034000000000001</v>
      </c>
      <c r="AF2199" s="52">
        <f t="shared" si="278"/>
        <v>1.2216027191120056</v>
      </c>
    </row>
    <row r="2200" spans="30:32">
      <c r="AD2200" s="50">
        <v>460.5</v>
      </c>
      <c r="AE2200" s="51">
        <v>5.7489999999999997</v>
      </c>
      <c r="AF2200" s="52">
        <f t="shared" si="278"/>
        <v>1.2404076913540252</v>
      </c>
    </row>
    <row r="2201" spans="30:32">
      <c r="AD2201" s="50">
        <v>460.4</v>
      </c>
      <c r="AE2201" s="51">
        <v>5.5364000000000004</v>
      </c>
      <c r="AF2201" s="52">
        <f t="shared" si="278"/>
        <v>1.2567725400258052</v>
      </c>
    </row>
    <row r="2202" spans="30:32">
      <c r="AD2202" s="50">
        <v>460.3</v>
      </c>
      <c r="AE2202" s="51">
        <v>5.3903999999999996</v>
      </c>
      <c r="AF2202" s="52">
        <f t="shared" si="278"/>
        <v>1.268379006362955</v>
      </c>
    </row>
    <row r="2203" spans="30:32">
      <c r="AD2203" s="50">
        <v>460.2</v>
      </c>
      <c r="AE2203" s="51">
        <v>5.2885</v>
      </c>
      <c r="AF2203" s="52">
        <f t="shared" si="278"/>
        <v>1.276667491310699</v>
      </c>
    </row>
    <row r="2204" spans="30:32">
      <c r="AD2204" s="50">
        <v>460.1</v>
      </c>
      <c r="AE2204" s="51">
        <v>5.2488999999999999</v>
      </c>
      <c r="AF2204" s="52">
        <f t="shared" si="278"/>
        <v>1.2799317011624916</v>
      </c>
    </row>
    <row r="2205" spans="30:32">
      <c r="AD2205" s="50">
        <v>460</v>
      </c>
      <c r="AE2205" s="51">
        <v>5.2609000000000004</v>
      </c>
      <c r="AF2205" s="52">
        <f t="shared" si="278"/>
        <v>1.2789399532609942</v>
      </c>
    </row>
    <row r="2206" spans="30:32">
      <c r="AD2206" s="50">
        <v>459.9</v>
      </c>
      <c r="AE2206" s="51">
        <v>5.3308999999999997</v>
      </c>
      <c r="AF2206" s="52">
        <f t="shared" si="278"/>
        <v>1.2731994641371116</v>
      </c>
    </row>
    <row r="2207" spans="30:32">
      <c r="AD2207" s="50">
        <v>459.8</v>
      </c>
      <c r="AE2207" s="51">
        <v>5.4530000000000003</v>
      </c>
      <c r="AF2207" s="52">
        <f t="shared" si="278"/>
        <v>1.2633645023131788</v>
      </c>
    </row>
    <row r="2208" spans="30:32">
      <c r="AD2208" s="50">
        <v>459.7</v>
      </c>
      <c r="AE2208" s="51">
        <v>5.6177000000000001</v>
      </c>
      <c r="AF2208" s="52">
        <f t="shared" si="278"/>
        <v>1.2504414569862348</v>
      </c>
    </row>
    <row r="2209" spans="30:32">
      <c r="AD2209" s="50">
        <v>459.6</v>
      </c>
      <c r="AE2209" s="51">
        <v>5.8398000000000003</v>
      </c>
      <c r="AF2209" s="52">
        <f t="shared" si="278"/>
        <v>1.2336020262409779</v>
      </c>
    </row>
    <row r="2210" spans="30:32">
      <c r="AD2210" s="50">
        <v>459.5</v>
      </c>
      <c r="AE2210" s="51">
        <v>6.1189</v>
      </c>
      <c r="AF2210" s="52">
        <f t="shared" si="278"/>
        <v>1.2133266443361292</v>
      </c>
    </row>
    <row r="2211" spans="30:32">
      <c r="AD2211" s="50">
        <v>459.4</v>
      </c>
      <c r="AE2211" s="51">
        <v>6.4828000000000001</v>
      </c>
      <c r="AF2211" s="52">
        <f t="shared" si="278"/>
        <v>1.1882373765516856</v>
      </c>
    </row>
    <row r="2212" spans="30:32">
      <c r="AD2212" s="50">
        <v>459.3</v>
      </c>
      <c r="AE2212" s="51">
        <v>6.9071999999999996</v>
      </c>
      <c r="AF2212" s="52">
        <f t="shared" si="278"/>
        <v>1.1606979686878076</v>
      </c>
    </row>
    <row r="2213" spans="30:32">
      <c r="AD2213" s="50">
        <v>459.2</v>
      </c>
      <c r="AE2213" s="51">
        <v>7.4122000000000003</v>
      </c>
      <c r="AF2213" s="52">
        <f t="shared" si="278"/>
        <v>1.1300528708258151</v>
      </c>
    </row>
    <row r="2214" spans="30:32">
      <c r="AD2214" s="50">
        <v>459.1</v>
      </c>
      <c r="AE2214" s="51">
        <v>7.9500999999999999</v>
      </c>
      <c r="AF2214" s="52">
        <f t="shared" si="278"/>
        <v>1.099627408554215</v>
      </c>
    </row>
    <row r="2215" spans="30:32">
      <c r="AD2215" s="50">
        <v>459</v>
      </c>
      <c r="AE2215" s="51">
        <v>8.5940999999999992</v>
      </c>
      <c r="AF2215" s="52">
        <f t="shared" si="278"/>
        <v>1.0657995972200096</v>
      </c>
    </row>
    <row r="2216" spans="30:32">
      <c r="AD2216" s="50">
        <v>458.9</v>
      </c>
      <c r="AE2216" s="51">
        <v>9.3244000000000007</v>
      </c>
      <c r="AF2216" s="52">
        <f t="shared" si="278"/>
        <v>1.0303791042991852</v>
      </c>
    </row>
    <row r="2217" spans="30:32">
      <c r="AD2217" s="50">
        <v>458.8</v>
      </c>
      <c r="AE2217" s="51">
        <v>10.16</v>
      </c>
      <c r="AF2217" s="52">
        <f t="shared" si="278"/>
        <v>0.99310629205209955</v>
      </c>
    </row>
    <row r="2218" spans="30:32">
      <c r="AD2218" s="50">
        <v>458.7</v>
      </c>
      <c r="AE2218" s="51">
        <v>11.074</v>
      </c>
      <c r="AF2218" s="52">
        <f t="shared" si="278"/>
        <v>0.9556954808240854</v>
      </c>
    </row>
    <row r="2219" spans="30:32">
      <c r="AD2219" s="50">
        <v>458.6</v>
      </c>
      <c r="AE2219" s="51">
        <v>12.067</v>
      </c>
      <c r="AF2219" s="52">
        <f t="shared" si="278"/>
        <v>0.91840068726706381</v>
      </c>
    </row>
    <row r="2220" spans="30:32">
      <c r="AD2220" s="50">
        <v>458.5</v>
      </c>
      <c r="AE2220" s="51">
        <v>13.129</v>
      </c>
      <c r="AF2220" s="52">
        <f t="shared" si="278"/>
        <v>0.88176835167297263</v>
      </c>
    </row>
    <row r="2221" spans="30:32">
      <c r="AD2221" s="50">
        <v>458.4</v>
      </c>
      <c r="AE2221" s="51">
        <v>14.292999999999999</v>
      </c>
      <c r="AF2221" s="52">
        <f t="shared" si="278"/>
        <v>0.84487660628928773</v>
      </c>
    </row>
    <row r="2222" spans="30:32">
      <c r="AD2222" s="50">
        <v>458.3</v>
      </c>
      <c r="AE2222" s="51">
        <v>15.472</v>
      </c>
      <c r="AF2222" s="52">
        <f t="shared" si="278"/>
        <v>0.81045354326107355</v>
      </c>
    </row>
    <row r="2223" spans="30:32">
      <c r="AD2223" s="50">
        <v>458.2</v>
      </c>
      <c r="AE2223" s="51">
        <v>16.687999999999999</v>
      </c>
      <c r="AF2223" s="52">
        <f t="shared" si="278"/>
        <v>0.77759570891754437</v>
      </c>
    </row>
    <row r="2224" spans="30:32">
      <c r="AD2224" s="50">
        <v>458.1</v>
      </c>
      <c r="AE2224" s="51">
        <v>17.920000000000002</v>
      </c>
      <c r="AF2224" s="52">
        <f t="shared" si="278"/>
        <v>0.74666199467389349</v>
      </c>
    </row>
    <row r="2225" spans="30:32">
      <c r="AD2225" s="50">
        <v>458</v>
      </c>
      <c r="AE2225" s="51">
        <v>19.170999999999999</v>
      </c>
      <c r="AF2225" s="52">
        <f t="shared" si="278"/>
        <v>0.71735523281026059</v>
      </c>
    </row>
    <row r="2226" spans="30:32">
      <c r="AD2226" s="50">
        <v>457.9</v>
      </c>
      <c r="AE2226" s="51">
        <v>20.428999999999998</v>
      </c>
      <c r="AF2226" s="52">
        <f t="shared" si="278"/>
        <v>0.68975289157171749</v>
      </c>
    </row>
    <row r="2227" spans="30:32">
      <c r="AD2227" s="50">
        <v>457.8</v>
      </c>
      <c r="AE2227" s="51">
        <v>21.603000000000002</v>
      </c>
      <c r="AF2227" s="52">
        <f t="shared" si="278"/>
        <v>0.66548593435943615</v>
      </c>
    </row>
    <row r="2228" spans="30:32">
      <c r="AD2228" s="50">
        <v>457.7</v>
      </c>
      <c r="AE2228" s="51">
        <v>22.661999999999999</v>
      </c>
      <c r="AF2228" s="52">
        <f t="shared" si="278"/>
        <v>0.64470176478883134</v>
      </c>
    </row>
    <row r="2229" spans="30:32">
      <c r="AD2229" s="50">
        <v>457.6</v>
      </c>
      <c r="AE2229" s="51">
        <v>23.689</v>
      </c>
      <c r="AF2229" s="52">
        <f t="shared" si="278"/>
        <v>0.62545327206104073</v>
      </c>
    </row>
    <row r="2230" spans="30:32">
      <c r="AD2230" s="50">
        <v>457.5</v>
      </c>
      <c r="AE2230" s="51">
        <v>24.626999999999999</v>
      </c>
      <c r="AF2230" s="52">
        <f t="shared" si="278"/>
        <v>0.60858848961438849</v>
      </c>
    </row>
    <row r="2231" spans="30:32">
      <c r="AD2231" s="50">
        <v>457.4</v>
      </c>
      <c r="AE2231" s="51">
        <v>25.417999999999999</v>
      </c>
      <c r="AF2231" s="52">
        <f t="shared" si="278"/>
        <v>0.5948586246370503</v>
      </c>
    </row>
    <row r="2232" spans="30:32">
      <c r="AD2232" s="50">
        <v>457.3</v>
      </c>
      <c r="AE2232" s="51">
        <v>26.065999999999999</v>
      </c>
      <c r="AF2232" s="52">
        <f t="shared" si="278"/>
        <v>0.5839256090776056</v>
      </c>
    </row>
    <row r="2233" spans="30:32">
      <c r="AD2233" s="50">
        <v>457.2</v>
      </c>
      <c r="AE2233" s="51">
        <v>26.605</v>
      </c>
      <c r="AF2233" s="52">
        <f t="shared" si="278"/>
        <v>0.57503673673925881</v>
      </c>
    </row>
    <row r="2234" spans="30:32">
      <c r="AD2234" s="50">
        <v>457.1</v>
      </c>
      <c r="AE2234" s="51">
        <v>26.998999999999999</v>
      </c>
      <c r="AF2234" s="52">
        <f t="shared" si="278"/>
        <v>0.56865232111970132</v>
      </c>
    </row>
    <row r="2235" spans="30:32">
      <c r="AD2235" s="50">
        <v>457</v>
      </c>
      <c r="AE2235" s="51">
        <v>27.222000000000001</v>
      </c>
      <c r="AF2235" s="52">
        <f t="shared" si="278"/>
        <v>0.56507997035033963</v>
      </c>
    </row>
    <row r="2236" spans="30:32">
      <c r="AD2236" s="50">
        <v>456.9</v>
      </c>
      <c r="AE2236" s="51">
        <v>27.283000000000001</v>
      </c>
      <c r="AF2236" s="52">
        <f t="shared" si="278"/>
        <v>0.56410787698434617</v>
      </c>
    </row>
    <row r="2237" spans="30:32">
      <c r="AD2237" s="50">
        <v>456.8</v>
      </c>
      <c r="AE2237" s="51">
        <v>27.2</v>
      </c>
      <c r="AF2237" s="52">
        <f t="shared" si="278"/>
        <v>0.56543109596580121</v>
      </c>
    </row>
    <row r="2238" spans="30:32">
      <c r="AD2238" s="50">
        <v>456.7</v>
      </c>
      <c r="AE2238" s="51">
        <v>26.99</v>
      </c>
      <c r="AF2238" s="52">
        <f t="shared" si="278"/>
        <v>0.56879711544348344</v>
      </c>
    </row>
    <row r="2239" spans="30:32">
      <c r="AD2239" s="50">
        <v>456.6</v>
      </c>
      <c r="AE2239" s="51">
        <v>26.637</v>
      </c>
      <c r="AF2239" s="52">
        <f t="shared" si="278"/>
        <v>0.57451468929196825</v>
      </c>
    </row>
    <row r="2240" spans="30:32">
      <c r="AD2240" s="50">
        <v>456.5</v>
      </c>
      <c r="AE2240" s="51">
        <v>26.21</v>
      </c>
      <c r="AF2240" s="52">
        <f t="shared" si="278"/>
        <v>0.58153297905339951</v>
      </c>
    </row>
    <row r="2241" spans="30:32">
      <c r="AD2241" s="50">
        <v>456.4</v>
      </c>
      <c r="AE2241" s="51">
        <v>25.666</v>
      </c>
      <c r="AF2241" s="52">
        <f t="shared" si="278"/>
        <v>0.59064181006983485</v>
      </c>
    </row>
    <row r="2242" spans="30:32">
      <c r="AD2242" s="50">
        <v>456.3</v>
      </c>
      <c r="AE2242" s="51">
        <v>25.053000000000001</v>
      </c>
      <c r="AF2242" s="52">
        <f t="shared" si="278"/>
        <v>0.60114026159573886</v>
      </c>
    </row>
    <row r="2243" spans="30:32">
      <c r="AD2243" s="50">
        <v>456.2</v>
      </c>
      <c r="AE2243" s="51">
        <v>24.324999999999999</v>
      </c>
      <c r="AF2243" s="52">
        <f t="shared" si="278"/>
        <v>0.61394715105961051</v>
      </c>
    </row>
    <row r="2244" spans="30:32">
      <c r="AD2244" s="50">
        <v>456.1</v>
      </c>
      <c r="AE2244" s="51">
        <v>23.533999999999999</v>
      </c>
      <c r="AF2244" s="52">
        <f t="shared" si="278"/>
        <v>0.62830425088229103</v>
      </c>
    </row>
    <row r="2245" spans="30:32">
      <c r="AD2245" s="50">
        <v>456</v>
      </c>
      <c r="AE2245" s="51">
        <v>22.748000000000001</v>
      </c>
      <c r="AF2245" s="52">
        <f t="shared" ref="AF2245:AF2308" si="279">-LOG(AE2245/100)</f>
        <v>0.64305678041987002</v>
      </c>
    </row>
    <row r="2246" spans="30:32">
      <c r="AD2246" s="50">
        <v>455.9</v>
      </c>
      <c r="AE2246" s="51">
        <v>21.91</v>
      </c>
      <c r="AF2246" s="52">
        <f t="shared" si="279"/>
        <v>0.65935762243929474</v>
      </c>
    </row>
    <row r="2247" spans="30:32">
      <c r="AD2247" s="50">
        <v>455.8</v>
      </c>
      <c r="AE2247" s="51">
        <v>21.027000000000001</v>
      </c>
      <c r="AF2247" s="52">
        <f t="shared" si="279"/>
        <v>0.67722268529679319</v>
      </c>
    </row>
    <row r="2248" spans="30:32">
      <c r="AD2248" s="50">
        <v>455.7</v>
      </c>
      <c r="AE2248" s="51">
        <v>20.132000000000001</v>
      </c>
      <c r="AF2248" s="52">
        <f t="shared" si="279"/>
        <v>0.6961130782748981</v>
      </c>
    </row>
    <row r="2249" spans="30:32">
      <c r="AD2249" s="50">
        <v>455.6</v>
      </c>
      <c r="AE2249" s="51">
        <v>19.23</v>
      </c>
      <c r="AF2249" s="52">
        <f t="shared" si="279"/>
        <v>0.71602071576152015</v>
      </c>
    </row>
    <row r="2250" spans="30:32">
      <c r="AD2250" s="50">
        <v>455.5</v>
      </c>
      <c r="AE2250" s="51">
        <v>18.337</v>
      </c>
      <c r="AF2250" s="52">
        <f t="shared" si="279"/>
        <v>0.7366717150137696</v>
      </c>
    </row>
    <row r="2251" spans="30:32">
      <c r="AD2251" s="50">
        <v>455.4</v>
      </c>
      <c r="AE2251" s="51">
        <v>17.443999999999999</v>
      </c>
      <c r="AF2251" s="52">
        <f t="shared" si="279"/>
        <v>0.75835392199861118</v>
      </c>
    </row>
    <row r="2252" spans="30:32">
      <c r="AD2252" s="50">
        <v>455.3</v>
      </c>
      <c r="AE2252" s="51">
        <v>16.524000000000001</v>
      </c>
      <c r="AF2252" s="52">
        <f t="shared" si="279"/>
        <v>0.78188481369545149</v>
      </c>
    </row>
    <row r="2253" spans="30:32">
      <c r="AD2253" s="50">
        <v>455.2</v>
      </c>
      <c r="AE2253" s="51">
        <v>15.638999999999999</v>
      </c>
      <c r="AF2253" s="52">
        <f t="shared" si="279"/>
        <v>0.80579102035331851</v>
      </c>
    </row>
    <row r="2254" spans="30:32">
      <c r="AD2254" s="50">
        <v>455.1</v>
      </c>
      <c r="AE2254" s="51">
        <v>14.88</v>
      </c>
      <c r="AF2254" s="52">
        <f t="shared" si="279"/>
        <v>0.82739706879014008</v>
      </c>
    </row>
    <row r="2255" spans="30:32">
      <c r="AD2255" s="50">
        <v>455</v>
      </c>
      <c r="AE2255" s="51">
        <v>14.013999999999999</v>
      </c>
      <c r="AF2255" s="52">
        <f t="shared" si="279"/>
        <v>0.85343788684244337</v>
      </c>
    </row>
    <row r="2256" spans="30:32">
      <c r="AD2256" s="50">
        <v>454.9</v>
      </c>
      <c r="AE2256" s="51">
        <v>13.265000000000001</v>
      </c>
      <c r="AF2256" s="52">
        <f t="shared" si="279"/>
        <v>0.87729274568165194</v>
      </c>
    </row>
    <row r="2257" spans="30:32">
      <c r="AD2257" s="50">
        <v>454.8</v>
      </c>
      <c r="AE2257" s="51">
        <v>12.48</v>
      </c>
      <c r="AF2257" s="52">
        <f t="shared" si="279"/>
        <v>0.90378541465359474</v>
      </c>
    </row>
    <row r="2258" spans="30:32">
      <c r="AD2258" s="50">
        <v>454.7</v>
      </c>
      <c r="AE2258" s="51">
        <v>11.78</v>
      </c>
      <c r="AF2258" s="52">
        <f t="shared" si="279"/>
        <v>0.92885470954891725</v>
      </c>
    </row>
    <row r="2259" spans="30:32">
      <c r="AD2259" s="50">
        <v>454.6</v>
      </c>
      <c r="AE2259" s="51">
        <v>11.122</v>
      </c>
      <c r="AF2259" s="52">
        <f t="shared" si="279"/>
        <v>0.95381710925911845</v>
      </c>
    </row>
    <row r="2260" spans="30:32">
      <c r="AD2260" s="50">
        <v>454.5</v>
      </c>
      <c r="AE2260" s="51">
        <v>10.497</v>
      </c>
      <c r="AF2260" s="52">
        <f t="shared" si="279"/>
        <v>0.97893480279743117</v>
      </c>
    </row>
    <row r="2261" spans="30:32">
      <c r="AD2261" s="50">
        <v>454.4</v>
      </c>
      <c r="AE2261" s="51">
        <v>9.9236000000000004</v>
      </c>
      <c r="AF2261" s="52">
        <f t="shared" si="279"/>
        <v>1.0033307495684922</v>
      </c>
    </row>
    <row r="2262" spans="30:32">
      <c r="AD2262" s="50">
        <v>454.3</v>
      </c>
      <c r="AE2262" s="51">
        <v>9.4064999999999994</v>
      </c>
      <c r="AF2262" s="52">
        <f t="shared" si="279"/>
        <v>1.026571940168969</v>
      </c>
    </row>
    <row r="2263" spans="30:32">
      <c r="AD2263" s="50">
        <v>454.2</v>
      </c>
      <c r="AE2263" s="51">
        <v>8.9417000000000009</v>
      </c>
      <c r="AF2263" s="52">
        <f t="shared" si="279"/>
        <v>1.0485799050931466</v>
      </c>
    </row>
    <row r="2264" spans="30:32">
      <c r="AD2264" s="50">
        <v>454.1</v>
      </c>
      <c r="AE2264" s="51">
        <v>8.5342000000000002</v>
      </c>
      <c r="AF2264" s="52">
        <f t="shared" si="279"/>
        <v>1.0688371836142041</v>
      </c>
    </row>
    <row r="2265" spans="30:32">
      <c r="AD2265" s="50">
        <v>454</v>
      </c>
      <c r="AE2265" s="51">
        <v>8.1826000000000008</v>
      </c>
      <c r="AF2265" s="52">
        <f t="shared" si="279"/>
        <v>1.0871086784510229</v>
      </c>
    </row>
    <row r="2266" spans="30:32">
      <c r="AD2266" s="50">
        <v>453.9</v>
      </c>
      <c r="AE2266" s="51">
        <v>7.9019000000000004</v>
      </c>
      <c r="AF2266" s="52">
        <f t="shared" si="279"/>
        <v>1.1022684706964598</v>
      </c>
    </row>
    <row r="2267" spans="30:32">
      <c r="AD2267" s="50">
        <v>453.8</v>
      </c>
      <c r="AE2267" s="51">
        <v>7.6867000000000001</v>
      </c>
      <c r="AF2267" s="52">
        <f t="shared" si="279"/>
        <v>1.1142600684412067</v>
      </c>
    </row>
    <row r="2268" spans="30:32">
      <c r="AD2268" s="50">
        <v>453.7</v>
      </c>
      <c r="AE2268" s="51">
        <v>7.5467000000000004</v>
      </c>
      <c r="AF2268" s="52">
        <f t="shared" si="279"/>
        <v>1.1222429139458192</v>
      </c>
    </row>
    <row r="2269" spans="30:32">
      <c r="AD2269" s="50">
        <v>453.6</v>
      </c>
      <c r="AE2269" s="51">
        <v>7.4497</v>
      </c>
      <c r="AF2269" s="52">
        <f t="shared" si="279"/>
        <v>1.1278612159722303</v>
      </c>
    </row>
    <row r="2270" spans="30:32">
      <c r="AD2270" s="50">
        <v>453.5</v>
      </c>
      <c r="AE2270" s="51">
        <v>7.4245999999999999</v>
      </c>
      <c r="AF2270" s="52">
        <f t="shared" si="279"/>
        <v>1.1293269389767024</v>
      </c>
    </row>
    <row r="2271" spans="30:32">
      <c r="AD2271" s="50">
        <v>453.4</v>
      </c>
      <c r="AE2271" s="51">
        <v>7.4631999999999996</v>
      </c>
      <c r="AF2271" s="52">
        <f t="shared" si="279"/>
        <v>1.1270749199322589</v>
      </c>
    </row>
    <row r="2272" spans="30:32">
      <c r="AD2272" s="50">
        <v>453.3</v>
      </c>
      <c r="AE2272" s="51">
        <v>7.5608000000000004</v>
      </c>
      <c r="AF2272" s="52">
        <f t="shared" si="279"/>
        <v>1.1214322498421818</v>
      </c>
    </row>
    <row r="2273" spans="30:32">
      <c r="AD2273" s="50">
        <v>453.2</v>
      </c>
      <c r="AE2273" s="51">
        <v>7.7248999999999999</v>
      </c>
      <c r="AF2273" s="52">
        <f t="shared" si="279"/>
        <v>1.1121071338745567</v>
      </c>
    </row>
    <row r="2274" spans="30:32">
      <c r="AD2274" s="50">
        <v>453.1</v>
      </c>
      <c r="AE2274" s="51">
        <v>7.9467999999999996</v>
      </c>
      <c r="AF2274" s="52">
        <f t="shared" si="279"/>
        <v>1.0998077168924278</v>
      </c>
    </row>
    <row r="2275" spans="30:32">
      <c r="AD2275" s="50">
        <v>453</v>
      </c>
      <c r="AE2275" s="51">
        <v>8.2231000000000005</v>
      </c>
      <c r="AF2275" s="52">
        <f t="shared" si="279"/>
        <v>1.0849644283126354</v>
      </c>
    </row>
    <row r="2276" spans="30:32">
      <c r="AD2276" s="50">
        <v>452.9</v>
      </c>
      <c r="AE2276" s="51">
        <v>8.5465</v>
      </c>
      <c r="AF2276" s="52">
        <f t="shared" si="279"/>
        <v>1.0682117030366209</v>
      </c>
    </row>
    <row r="2277" spans="30:32">
      <c r="AD2277" s="50">
        <v>452.8</v>
      </c>
      <c r="AE2277" s="51">
        <v>8.9109999999999996</v>
      </c>
      <c r="AF2277" s="52">
        <f t="shared" si="279"/>
        <v>1.0500735563320878</v>
      </c>
    </row>
    <row r="2278" spans="30:32">
      <c r="AD2278" s="50">
        <v>452.7</v>
      </c>
      <c r="AE2278" s="51">
        <v>9.3417999999999992</v>
      </c>
      <c r="AF2278" s="52">
        <f t="shared" si="279"/>
        <v>1.0295694348245326</v>
      </c>
    </row>
    <row r="2279" spans="30:32">
      <c r="AD2279" s="50">
        <v>452.6</v>
      </c>
      <c r="AE2279" s="51">
        <v>9.8291000000000004</v>
      </c>
      <c r="AF2279" s="52">
        <f t="shared" si="279"/>
        <v>1.0074862464535119</v>
      </c>
    </row>
    <row r="2280" spans="30:32">
      <c r="AD2280" s="50">
        <v>452.5</v>
      </c>
      <c r="AE2280" s="51">
        <v>10.335000000000001</v>
      </c>
      <c r="AF2280" s="52">
        <f t="shared" si="279"/>
        <v>0.98568951903669288</v>
      </c>
    </row>
    <row r="2281" spans="30:32">
      <c r="AD2281" s="50">
        <v>452.4</v>
      </c>
      <c r="AE2281" s="51">
        <v>10.852</v>
      </c>
      <c r="AF2281" s="52">
        <f t="shared" si="279"/>
        <v>0.96449021491044151</v>
      </c>
    </row>
    <row r="2282" spans="30:32">
      <c r="AD2282" s="50">
        <v>452.3</v>
      </c>
      <c r="AE2282" s="51">
        <v>11.398999999999999</v>
      </c>
      <c r="AF2282" s="52">
        <f t="shared" si="279"/>
        <v>0.94313324634168716</v>
      </c>
    </row>
    <row r="2283" spans="30:32">
      <c r="AD2283" s="50">
        <v>452.2</v>
      </c>
      <c r="AE2283" s="51">
        <v>12.01</v>
      </c>
      <c r="AF2283" s="52">
        <f t="shared" si="279"/>
        <v>0.9204569925970939</v>
      </c>
    </row>
    <row r="2284" spans="30:32">
      <c r="AD2284" s="50">
        <v>452.1</v>
      </c>
      <c r="AE2284" s="51">
        <v>12.625999999999999</v>
      </c>
      <c r="AF2284" s="52">
        <f t="shared" si="279"/>
        <v>0.89873421500866502</v>
      </c>
    </row>
    <row r="2285" spans="30:32">
      <c r="AD2285" s="50">
        <v>452</v>
      </c>
      <c r="AE2285" s="51">
        <v>13.279</v>
      </c>
      <c r="AF2285" s="52">
        <f t="shared" si="279"/>
        <v>0.87683462909708065</v>
      </c>
    </row>
    <row r="2286" spans="30:32">
      <c r="AD2286" s="50">
        <v>451.9</v>
      </c>
      <c r="AE2286" s="51">
        <v>13.938000000000001</v>
      </c>
      <c r="AF2286" s="52">
        <f t="shared" si="279"/>
        <v>0.85579953981612089</v>
      </c>
    </row>
    <row r="2287" spans="30:32">
      <c r="AD2287" s="50">
        <v>451.8</v>
      </c>
      <c r="AE2287" s="51">
        <v>14.635999999999999</v>
      </c>
      <c r="AF2287" s="52">
        <f t="shared" si="279"/>
        <v>0.83457759918543017</v>
      </c>
    </row>
    <row r="2288" spans="30:32">
      <c r="AD2288" s="50">
        <v>451.7</v>
      </c>
      <c r="AE2288" s="51">
        <v>15.332000000000001</v>
      </c>
      <c r="AF2288" s="52">
        <f t="shared" si="279"/>
        <v>0.81440118941768547</v>
      </c>
    </row>
    <row r="2289" spans="30:32">
      <c r="AD2289" s="50">
        <v>451.6</v>
      </c>
      <c r="AE2289" s="51">
        <v>16.03</v>
      </c>
      <c r="AF2289" s="52">
        <f t="shared" si="279"/>
        <v>0.79506647764585514</v>
      </c>
    </row>
    <row r="2290" spans="30:32">
      <c r="AD2290" s="50">
        <v>451.5</v>
      </c>
      <c r="AE2290" s="51">
        <v>16.727</v>
      </c>
      <c r="AF2290" s="52">
        <f t="shared" si="279"/>
        <v>0.77658194309470574</v>
      </c>
    </row>
    <row r="2291" spans="30:32">
      <c r="AD2291" s="50">
        <v>451.4</v>
      </c>
      <c r="AE2291" s="51">
        <v>17.423999999999999</v>
      </c>
      <c r="AF2291" s="52">
        <f t="shared" si="279"/>
        <v>0.75885213758830028</v>
      </c>
    </row>
    <row r="2292" spans="30:32">
      <c r="AD2292" s="50">
        <v>451.3</v>
      </c>
      <c r="AE2292" s="51">
        <v>18.081</v>
      </c>
      <c r="AF2292" s="52">
        <f t="shared" si="279"/>
        <v>0.74277755381242594</v>
      </c>
    </row>
    <row r="2293" spans="30:32">
      <c r="AD2293" s="50">
        <v>451.2</v>
      </c>
      <c r="AE2293" s="51">
        <v>18.702999999999999</v>
      </c>
      <c r="AF2293" s="52">
        <f t="shared" si="279"/>
        <v>0.72808872614010434</v>
      </c>
    </row>
    <row r="2294" spans="30:32">
      <c r="AD2294" s="50">
        <v>451.1</v>
      </c>
      <c r="AE2294" s="51">
        <v>19.274999999999999</v>
      </c>
      <c r="AF2294" s="52">
        <f t="shared" si="279"/>
        <v>0.71500561327700551</v>
      </c>
    </row>
    <row r="2295" spans="30:32">
      <c r="AD2295" s="50">
        <v>451</v>
      </c>
      <c r="AE2295" s="51">
        <v>19.768000000000001</v>
      </c>
      <c r="AF2295" s="52">
        <f t="shared" si="279"/>
        <v>0.70403726760597707</v>
      </c>
    </row>
    <row r="2296" spans="30:32">
      <c r="AD2296" s="50">
        <v>450.9</v>
      </c>
      <c r="AE2296" s="51">
        <v>20.169</v>
      </c>
      <c r="AF2296" s="52">
        <f t="shared" si="279"/>
        <v>0.69531563402561392</v>
      </c>
    </row>
    <row r="2297" spans="30:32">
      <c r="AD2297" s="50">
        <v>450.8</v>
      </c>
      <c r="AE2297" s="51">
        <v>20.495999999999999</v>
      </c>
      <c r="AF2297" s="52">
        <f t="shared" si="279"/>
        <v>0.68833088759938899</v>
      </c>
    </row>
    <row r="2298" spans="30:32">
      <c r="AD2298" s="50">
        <v>450.7</v>
      </c>
      <c r="AE2298" s="51">
        <v>20.704999999999998</v>
      </c>
      <c r="AF2298" s="52">
        <f t="shared" si="279"/>
        <v>0.68392476516160317</v>
      </c>
    </row>
    <row r="2299" spans="30:32">
      <c r="AD2299" s="50">
        <v>450.6</v>
      </c>
      <c r="AE2299" s="51">
        <v>20.827000000000002</v>
      </c>
      <c r="AF2299" s="52">
        <f t="shared" si="279"/>
        <v>0.68137328297003319</v>
      </c>
    </row>
    <row r="2300" spans="30:32">
      <c r="AD2300" s="50">
        <v>450.5</v>
      </c>
      <c r="AE2300" s="51">
        <v>20.806000000000001</v>
      </c>
      <c r="AF2300" s="52">
        <f t="shared" si="279"/>
        <v>0.68181140584820399</v>
      </c>
    </row>
    <row r="2301" spans="30:32">
      <c r="AD2301" s="50">
        <v>450.4</v>
      </c>
      <c r="AE2301" s="51">
        <v>20.667999999999999</v>
      </c>
      <c r="AF2301" s="52">
        <f t="shared" si="279"/>
        <v>0.68470154712637588</v>
      </c>
    </row>
    <row r="2302" spans="30:32">
      <c r="AD2302" s="50">
        <v>450.3</v>
      </c>
      <c r="AE2302" s="51">
        <v>20.411999999999999</v>
      </c>
      <c r="AF2302" s="52">
        <f t="shared" si="279"/>
        <v>0.69011444033980618</v>
      </c>
    </row>
    <row r="2303" spans="30:32">
      <c r="AD2303" s="50">
        <v>450.2</v>
      </c>
      <c r="AE2303" s="51">
        <v>20.032</v>
      </c>
      <c r="AF2303" s="52">
        <f t="shared" si="279"/>
        <v>0.69827568846966437</v>
      </c>
    </row>
    <row r="2304" spans="30:32">
      <c r="AD2304" s="50">
        <v>450.1</v>
      </c>
      <c r="AE2304" s="51">
        <v>19.529</v>
      </c>
      <c r="AF2304" s="52">
        <f t="shared" si="279"/>
        <v>0.70931999458213713</v>
      </c>
    </row>
    <row r="2305" spans="30:32">
      <c r="AD2305" s="50">
        <v>450</v>
      </c>
      <c r="AE2305" s="51">
        <v>18.904</v>
      </c>
      <c r="AF2305" s="52">
        <f t="shared" si="279"/>
        <v>0.72344629137568739</v>
      </c>
    </row>
    <row r="2306" spans="30:32">
      <c r="AD2306" s="50">
        <v>449.9</v>
      </c>
      <c r="AE2306" s="51">
        <v>18.151</v>
      </c>
      <c r="AF2306" s="52">
        <f t="shared" si="279"/>
        <v>0.74109944321639165</v>
      </c>
    </row>
    <row r="2307" spans="30:32">
      <c r="AD2307" s="50">
        <v>449.8</v>
      </c>
      <c r="AE2307" s="51">
        <v>17.34</v>
      </c>
      <c r="AF2307" s="52">
        <f t="shared" si="279"/>
        <v>0.76095090685980848</v>
      </c>
    </row>
    <row r="2308" spans="30:32">
      <c r="AD2308" s="50">
        <v>449.7</v>
      </c>
      <c r="AE2308" s="51">
        <v>16.439</v>
      </c>
      <c r="AF2308" s="52">
        <f t="shared" si="279"/>
        <v>0.78412460453872435</v>
      </c>
    </row>
    <row r="2309" spans="30:32">
      <c r="AD2309" s="50">
        <v>449.6</v>
      </c>
      <c r="AE2309" s="51">
        <v>15.544</v>
      </c>
      <c r="AF2309" s="52">
        <f t="shared" ref="AF2309:AF2372" si="280">-LOG(AE2309/100)</f>
        <v>0.80843721240827393</v>
      </c>
    </row>
    <row r="2310" spans="30:32">
      <c r="AD2310" s="50">
        <v>449.5</v>
      </c>
      <c r="AE2310" s="51">
        <v>14.513999999999999</v>
      </c>
      <c r="AF2310" s="52">
        <f t="shared" si="280"/>
        <v>0.83821288125447668</v>
      </c>
    </row>
    <row r="2311" spans="30:32">
      <c r="AD2311" s="50">
        <v>449.4</v>
      </c>
      <c r="AE2311" s="51">
        <v>13.475</v>
      </c>
      <c r="AF2311" s="52">
        <f t="shared" si="280"/>
        <v>0.87047122614122363</v>
      </c>
    </row>
    <row r="2312" spans="30:32">
      <c r="AD2312" s="50">
        <v>449.3</v>
      </c>
      <c r="AE2312" s="51">
        <v>12.433999999999999</v>
      </c>
      <c r="AF2312" s="52">
        <f t="shared" si="280"/>
        <v>0.90538913696786305</v>
      </c>
    </row>
    <row r="2313" spans="30:32">
      <c r="AD2313" s="50">
        <v>449.2</v>
      </c>
      <c r="AE2313" s="51">
        <v>11.393000000000001</v>
      </c>
      <c r="AF2313" s="52">
        <f t="shared" si="280"/>
        <v>0.94336190262034747</v>
      </c>
    </row>
    <row r="2314" spans="30:32">
      <c r="AD2314" s="50">
        <v>449.1</v>
      </c>
      <c r="AE2314" s="51">
        <v>10.331</v>
      </c>
      <c r="AF2314" s="52">
        <f t="shared" si="280"/>
        <v>0.98585763845499419</v>
      </c>
    </row>
    <row r="2315" spans="30:32">
      <c r="AD2315" s="50">
        <v>449</v>
      </c>
      <c r="AE2315" s="51">
        <v>9.3134999999999994</v>
      </c>
      <c r="AF2315" s="52">
        <f t="shared" si="280"/>
        <v>1.0308870810983355</v>
      </c>
    </row>
    <row r="2316" spans="30:32">
      <c r="AD2316" s="50">
        <v>448.9</v>
      </c>
      <c r="AE2316" s="51">
        <v>8.3156999999999996</v>
      </c>
      <c r="AF2316" s="52">
        <f t="shared" si="280"/>
        <v>1.0801011868122743</v>
      </c>
    </row>
    <row r="2317" spans="30:32">
      <c r="AD2317" s="50">
        <v>448.8</v>
      </c>
      <c r="AE2317" s="51">
        <v>7.4</v>
      </c>
      <c r="AF2317" s="52">
        <f t="shared" si="280"/>
        <v>1.1307682802690238</v>
      </c>
    </row>
    <row r="2318" spans="30:32">
      <c r="AD2318" s="50">
        <v>448.7</v>
      </c>
      <c r="AE2318" s="51">
        <v>6.4976000000000003</v>
      </c>
      <c r="AF2318" s="52">
        <f t="shared" si="280"/>
        <v>1.1872470278540381</v>
      </c>
    </row>
    <row r="2319" spans="30:32">
      <c r="AD2319" s="50">
        <v>448.6</v>
      </c>
      <c r="AE2319" s="51">
        <v>5.6787000000000001</v>
      </c>
      <c r="AF2319" s="52">
        <f t="shared" si="280"/>
        <v>1.2457510740504749</v>
      </c>
    </row>
    <row r="2320" spans="30:32">
      <c r="AD2320" s="50">
        <v>448.5</v>
      </c>
      <c r="AE2320" s="51">
        <v>4.915</v>
      </c>
      <c r="AF2320" s="52">
        <f t="shared" si="280"/>
        <v>1.3084764778318456</v>
      </c>
    </row>
    <row r="2321" spans="30:32">
      <c r="AD2321" s="50">
        <v>448.4</v>
      </c>
      <c r="AE2321" s="51">
        <v>4.2811000000000003</v>
      </c>
      <c r="AF2321" s="52">
        <f t="shared" si="280"/>
        <v>1.3684446275870961</v>
      </c>
    </row>
    <row r="2322" spans="30:32">
      <c r="AD2322" s="50">
        <v>448.3</v>
      </c>
      <c r="AE2322" s="51">
        <v>3.6856</v>
      </c>
      <c r="AF2322" s="52">
        <f t="shared" si="280"/>
        <v>1.4334918007553767</v>
      </c>
    </row>
    <row r="2323" spans="30:32">
      <c r="AD2323" s="50">
        <v>448.2</v>
      </c>
      <c r="AE2323" s="51">
        <v>3.1793999999999998</v>
      </c>
      <c r="AF2323" s="52">
        <f t="shared" si="280"/>
        <v>1.4976548301020269</v>
      </c>
    </row>
    <row r="2324" spans="30:32">
      <c r="AD2324" s="50">
        <v>448.1</v>
      </c>
      <c r="AE2324" s="51">
        <v>2.71</v>
      </c>
      <c r="AF2324" s="52">
        <f t="shared" si="280"/>
        <v>1.5670307091255944</v>
      </c>
    </row>
    <row r="2325" spans="30:32">
      <c r="AD2325" s="50">
        <v>448</v>
      </c>
      <c r="AE2325" s="51">
        <v>2.3037000000000001</v>
      </c>
      <c r="AF2325" s="52">
        <f t="shared" si="280"/>
        <v>1.6375740776913696</v>
      </c>
    </row>
    <row r="2326" spans="30:32">
      <c r="AD2326" s="50">
        <v>447.9</v>
      </c>
      <c r="AE2326" s="51">
        <v>1.9635</v>
      </c>
      <c r="AF2326" s="52">
        <f t="shared" si="280"/>
        <v>1.7069690943935629</v>
      </c>
    </row>
    <row r="2327" spans="30:32">
      <c r="AD2327" s="50">
        <v>447.8</v>
      </c>
      <c r="AE2327" s="51">
        <v>1.6758</v>
      </c>
      <c r="AF2327" s="52">
        <f t="shared" si="280"/>
        <v>1.7757778139153513</v>
      </c>
    </row>
    <row r="2328" spans="30:32">
      <c r="AD2328" s="50">
        <v>447.7</v>
      </c>
      <c r="AE2328" s="51">
        <v>1.4266000000000001</v>
      </c>
      <c r="AF2328" s="52">
        <f t="shared" si="280"/>
        <v>1.8456977803153356</v>
      </c>
    </row>
    <row r="2329" spans="30:32">
      <c r="AD2329" s="50">
        <v>447.6</v>
      </c>
      <c r="AE2329" s="51">
        <v>1.2121</v>
      </c>
      <c r="AF2329" s="52">
        <f t="shared" si="280"/>
        <v>1.9164615487698604</v>
      </c>
    </row>
    <row r="2330" spans="30:32">
      <c r="AD2330" s="50">
        <v>447.5</v>
      </c>
      <c r="AE2330" s="51">
        <v>1.0354000000000001</v>
      </c>
      <c r="AF2330" s="52">
        <f t="shared" si="280"/>
        <v>1.9848918393541628</v>
      </c>
    </row>
    <row r="2331" spans="30:32">
      <c r="AD2331" s="50">
        <v>447.4</v>
      </c>
      <c r="AE2331" s="51">
        <v>0.88553999999999999</v>
      </c>
      <c r="AF2331" s="52">
        <f t="shared" si="280"/>
        <v>2.0527918168715042</v>
      </c>
    </row>
    <row r="2332" spans="30:32">
      <c r="AD2332" s="50">
        <v>447.3</v>
      </c>
      <c r="AE2332" s="51">
        <v>0.75600999999999996</v>
      </c>
      <c r="AF2332" s="52">
        <f t="shared" si="280"/>
        <v>2.1214724599007826</v>
      </c>
    </row>
    <row r="2333" spans="30:32">
      <c r="AD2333" s="50">
        <v>447.2</v>
      </c>
      <c r="AE2333" s="51">
        <v>0.64612000000000003</v>
      </c>
      <c r="AF2333" s="52">
        <f t="shared" si="280"/>
        <v>2.1896868155993525</v>
      </c>
    </row>
    <row r="2334" spans="30:32">
      <c r="AD2334" s="50">
        <v>447.1</v>
      </c>
      <c r="AE2334" s="51">
        <v>0.54718999999999995</v>
      </c>
      <c r="AF2334" s="52">
        <f t="shared" si="280"/>
        <v>2.2618618480286252</v>
      </c>
    </row>
    <row r="2335" spans="30:32">
      <c r="AD2335" s="50">
        <v>447</v>
      </c>
      <c r="AE2335" s="51">
        <v>0.47265000000000001</v>
      </c>
      <c r="AF2335" s="52">
        <f t="shared" si="280"/>
        <v>2.3254603377703189</v>
      </c>
    </row>
    <row r="2336" spans="30:32">
      <c r="AD2336" s="50">
        <v>446.9</v>
      </c>
      <c r="AE2336" s="51">
        <v>0.40373999999999999</v>
      </c>
      <c r="AF2336" s="52">
        <f t="shared" si="280"/>
        <v>2.3938982213137261</v>
      </c>
    </row>
    <row r="2337" spans="30:32">
      <c r="AD2337" s="50">
        <v>446.8</v>
      </c>
      <c r="AE2337" s="51">
        <v>0.34466999999999998</v>
      </c>
      <c r="AF2337" s="52">
        <f t="shared" si="280"/>
        <v>2.4625965158419918</v>
      </c>
    </row>
    <row r="2338" spans="30:32">
      <c r="AD2338" s="50">
        <v>446.7</v>
      </c>
      <c r="AE2338" s="51">
        <v>0.29121000000000002</v>
      </c>
      <c r="AF2338" s="52">
        <f t="shared" si="280"/>
        <v>2.5357937156562156</v>
      </c>
    </row>
    <row r="2339" spans="30:32">
      <c r="AD2339" s="50">
        <v>446.6</v>
      </c>
      <c r="AE2339" s="51">
        <v>0.24764</v>
      </c>
      <c r="AF2339" s="52">
        <f t="shared" si="280"/>
        <v>2.6061792046591328</v>
      </c>
    </row>
    <row r="2340" spans="30:32">
      <c r="AD2340" s="50">
        <v>446.5</v>
      </c>
      <c r="AE2340" s="51">
        <v>0.20959</v>
      </c>
      <c r="AF2340" s="52">
        <f t="shared" si="280"/>
        <v>2.6786294423391848</v>
      </c>
    </row>
    <row r="2341" spans="30:32">
      <c r="AD2341" s="50">
        <v>446.4</v>
      </c>
      <c r="AE2341" s="51">
        <v>0.17684</v>
      </c>
      <c r="AF2341" s="52">
        <f t="shared" si="280"/>
        <v>2.7524194937661637</v>
      </c>
    </row>
    <row r="2342" spans="30:32">
      <c r="AD2342" s="50">
        <v>446.3</v>
      </c>
      <c r="AE2342" s="51">
        <v>0.15013000000000001</v>
      </c>
      <c r="AF2342" s="52">
        <f t="shared" si="280"/>
        <v>2.8235325154008661</v>
      </c>
    </row>
    <row r="2343" spans="30:32">
      <c r="AD2343" s="50">
        <v>446.2</v>
      </c>
      <c r="AE2343" s="51">
        <v>0.12816</v>
      </c>
      <c r="AF2343" s="52">
        <f t="shared" si="280"/>
        <v>2.8922475012598374</v>
      </c>
    </row>
    <row r="2344" spans="30:32">
      <c r="AD2344" s="50">
        <v>446.1</v>
      </c>
      <c r="AE2344" s="51">
        <v>0.11017</v>
      </c>
      <c r="AF2344" s="52">
        <f t="shared" si="280"/>
        <v>2.9579366505678437</v>
      </c>
    </row>
    <row r="2345" spans="30:32">
      <c r="AD2345" s="50">
        <v>446</v>
      </c>
      <c r="AE2345" s="51">
        <v>9.5616000000000007E-2</v>
      </c>
      <c r="AF2345" s="52">
        <f t="shared" si="280"/>
        <v>3.0194694285367327</v>
      </c>
    </row>
    <row r="2346" spans="30:32">
      <c r="AD2346" s="50">
        <v>445.9</v>
      </c>
      <c r="AE2346" s="51">
        <v>8.5824999999999999E-2</v>
      </c>
      <c r="AF2346" s="52">
        <f t="shared" si="280"/>
        <v>3.0663861879022121</v>
      </c>
    </row>
    <row r="2347" spans="30:32">
      <c r="AD2347" s="50">
        <v>445.8</v>
      </c>
      <c r="AE2347" s="51">
        <v>7.9085000000000003E-2</v>
      </c>
      <c r="AF2347" s="52">
        <f t="shared" si="280"/>
        <v>3.1019058810406559</v>
      </c>
    </row>
    <row r="2348" spans="30:32">
      <c r="AD2348" s="50">
        <v>445.7</v>
      </c>
      <c r="AE2348" s="51">
        <v>7.6168E-2</v>
      </c>
      <c r="AF2348" s="52">
        <f t="shared" si="280"/>
        <v>3.1182274478511118</v>
      </c>
    </row>
    <row r="2349" spans="30:32">
      <c r="AD2349" s="50">
        <v>445.6</v>
      </c>
      <c r="AE2349" s="51">
        <v>7.5762999999999997E-2</v>
      </c>
      <c r="AF2349" s="52">
        <f t="shared" si="280"/>
        <v>3.1205428368341108</v>
      </c>
    </row>
    <row r="2350" spans="30:32">
      <c r="AD2350" s="50">
        <v>445.5</v>
      </c>
      <c r="AE2350" s="51">
        <v>7.8090000000000007E-2</v>
      </c>
      <c r="AF2350" s="52">
        <f t="shared" si="280"/>
        <v>3.1074045771711019</v>
      </c>
    </row>
    <row r="2351" spans="30:32">
      <c r="AD2351" s="50">
        <v>445.4</v>
      </c>
      <c r="AE2351" s="51">
        <v>8.8079000000000005E-2</v>
      </c>
      <c r="AF2351" s="52">
        <f t="shared" si="280"/>
        <v>3.0551276247464236</v>
      </c>
    </row>
    <row r="2352" spans="30:32">
      <c r="AD2352" s="50">
        <v>445.3</v>
      </c>
      <c r="AE2352" s="51">
        <v>0.10244</v>
      </c>
      <c r="AF2352" s="52">
        <f t="shared" si="280"/>
        <v>2.9895304302036081</v>
      </c>
    </row>
    <row r="2353" spans="30:32">
      <c r="AD2353" s="50">
        <v>445.2</v>
      </c>
      <c r="AE2353" s="51">
        <v>0.12495000000000001</v>
      </c>
      <c r="AF2353" s="52">
        <f t="shared" si="280"/>
        <v>2.9032637395375311</v>
      </c>
    </row>
    <row r="2354" spans="30:32">
      <c r="AD2354" s="50">
        <v>445.1</v>
      </c>
      <c r="AE2354" s="51">
        <v>0.15876000000000001</v>
      </c>
      <c r="AF2354" s="52">
        <f t="shared" si="280"/>
        <v>2.7992589097648741</v>
      </c>
    </row>
    <row r="2355" spans="30:32">
      <c r="AD2355" s="50">
        <v>445</v>
      </c>
      <c r="AE2355" s="51">
        <v>0.20812</v>
      </c>
      <c r="AF2355" s="52">
        <f t="shared" si="280"/>
        <v>2.681686182776001</v>
      </c>
    </row>
    <row r="2356" spans="30:32">
      <c r="AD2356" s="50">
        <v>444.9</v>
      </c>
      <c r="AE2356" s="51">
        <v>0.28227000000000002</v>
      </c>
      <c r="AF2356" s="52">
        <f t="shared" si="280"/>
        <v>2.5493352767478479</v>
      </c>
    </row>
    <row r="2357" spans="30:32">
      <c r="AD2357" s="50">
        <v>444.8</v>
      </c>
      <c r="AE2357" s="51">
        <v>0.38456000000000001</v>
      </c>
      <c r="AF2357" s="52">
        <f t="shared" si="280"/>
        <v>2.4150358908794094</v>
      </c>
    </row>
    <row r="2358" spans="30:32">
      <c r="AD2358" s="50">
        <v>444.7</v>
      </c>
      <c r="AE2358" s="51">
        <v>0.52753000000000005</v>
      </c>
      <c r="AF2358" s="52">
        <f t="shared" si="280"/>
        <v>2.2777528375203495</v>
      </c>
    </row>
    <row r="2359" spans="30:32">
      <c r="AD2359" s="50">
        <v>444.6</v>
      </c>
      <c r="AE2359" s="51">
        <v>0.72558999999999996</v>
      </c>
      <c r="AF2359" s="52">
        <f t="shared" si="280"/>
        <v>2.1393087113045568</v>
      </c>
    </row>
    <row r="2360" spans="30:32">
      <c r="AD2360" s="50">
        <v>444.5</v>
      </c>
      <c r="AE2360" s="51">
        <v>0.99378</v>
      </c>
      <c r="AF2360" s="52">
        <f t="shared" si="280"/>
        <v>2.0027097477565556</v>
      </c>
    </row>
    <row r="2361" spans="30:32">
      <c r="AD2361" s="50">
        <v>444.4</v>
      </c>
      <c r="AE2361" s="51">
        <v>1.3653</v>
      </c>
      <c r="AF2361" s="52">
        <f t="shared" si="280"/>
        <v>1.8647719097739446</v>
      </c>
    </row>
    <row r="2362" spans="30:32">
      <c r="AD2362" s="50">
        <v>444.3</v>
      </c>
      <c r="AE2362" s="51">
        <v>1.7947</v>
      </c>
      <c r="AF2362" s="52">
        <f t="shared" si="280"/>
        <v>1.7460081371878289</v>
      </c>
    </row>
    <row r="2363" spans="30:32">
      <c r="AD2363" s="50">
        <v>444.2</v>
      </c>
      <c r="AE2363" s="51">
        <v>2.3915000000000002</v>
      </c>
      <c r="AF2363" s="52">
        <f t="shared" si="280"/>
        <v>1.6213296147920171</v>
      </c>
    </row>
    <row r="2364" spans="30:32">
      <c r="AD2364" s="50">
        <v>444.1</v>
      </c>
      <c r="AE2364" s="51">
        <v>3.1373000000000002</v>
      </c>
      <c r="AF2364" s="52">
        <f t="shared" si="280"/>
        <v>1.5034439505037052</v>
      </c>
    </row>
    <row r="2365" spans="30:32">
      <c r="AD2365" s="50">
        <v>444</v>
      </c>
      <c r="AE2365" s="51">
        <v>4.069</v>
      </c>
      <c r="AF2365" s="52">
        <f t="shared" si="280"/>
        <v>1.3905123101467147</v>
      </c>
    </row>
    <row r="2366" spans="30:32">
      <c r="AD2366" s="50">
        <v>443.9</v>
      </c>
      <c r="AE2366" s="51">
        <v>5.1737000000000002</v>
      </c>
      <c r="AF2366" s="52">
        <f t="shared" si="280"/>
        <v>1.2861987577072065</v>
      </c>
    </row>
    <row r="2367" spans="30:32">
      <c r="AD2367" s="50">
        <v>443.8</v>
      </c>
      <c r="AE2367" s="51">
        <v>6.4954000000000001</v>
      </c>
      <c r="AF2367" s="52">
        <f t="shared" si="280"/>
        <v>1.1873940990261029</v>
      </c>
    </row>
    <row r="2368" spans="30:32">
      <c r="AD2368" s="50">
        <v>443.7</v>
      </c>
      <c r="AE2368" s="51">
        <v>8.0785</v>
      </c>
      <c r="AF2368" s="52">
        <f t="shared" si="280"/>
        <v>1.092669270685602</v>
      </c>
    </row>
    <row r="2369" spans="30:32">
      <c r="AD2369" s="50">
        <v>443.6</v>
      </c>
      <c r="AE2369" s="51">
        <v>9.8780999999999999</v>
      </c>
      <c r="AF2369" s="52">
        <f t="shared" si="280"/>
        <v>1.0053265816135917</v>
      </c>
    </row>
    <row r="2370" spans="30:32">
      <c r="AD2370" s="50">
        <v>443.5</v>
      </c>
      <c r="AE2370" s="51">
        <v>11.792</v>
      </c>
      <c r="AF2370" s="52">
        <f t="shared" si="280"/>
        <v>0.92841252948502373</v>
      </c>
    </row>
    <row r="2371" spans="30:32">
      <c r="AD2371" s="50">
        <v>443.4</v>
      </c>
      <c r="AE2371" s="51">
        <v>13.917</v>
      </c>
      <c r="AF2371" s="52">
        <f t="shared" si="280"/>
        <v>0.85645437276157799</v>
      </c>
    </row>
    <row r="2372" spans="30:32">
      <c r="AD2372" s="50">
        <v>443.3</v>
      </c>
      <c r="AE2372" s="51">
        <v>16.323</v>
      </c>
      <c r="AF2372" s="52">
        <f t="shared" si="280"/>
        <v>0.78720001937443296</v>
      </c>
    </row>
    <row r="2373" spans="30:32">
      <c r="AD2373" s="50">
        <v>443.2</v>
      </c>
      <c r="AE2373" s="51">
        <v>18.849</v>
      </c>
      <c r="AF2373" s="52">
        <f t="shared" ref="AF2373:AF2436" si="281">-LOG(AE2373/100)</f>
        <v>0.72471168556439836</v>
      </c>
    </row>
    <row r="2374" spans="30:32">
      <c r="AD2374" s="50">
        <v>443.1</v>
      </c>
      <c r="AE2374" s="51">
        <v>21.51</v>
      </c>
      <c r="AF2374" s="52">
        <f t="shared" si="281"/>
        <v>0.66735958961253738</v>
      </c>
    </row>
    <row r="2375" spans="30:32">
      <c r="AD2375" s="50">
        <v>443</v>
      </c>
      <c r="AE2375" s="51">
        <v>24.088000000000001</v>
      </c>
      <c r="AF2375" s="52">
        <f t="shared" si="281"/>
        <v>0.61819925749529703</v>
      </c>
    </row>
    <row r="2376" spans="30:32">
      <c r="AD2376" s="50">
        <v>442.9</v>
      </c>
      <c r="AE2376" s="51">
        <v>26.832999999999998</v>
      </c>
      <c r="AF2376" s="52">
        <f t="shared" si="281"/>
        <v>0.57133076934781146</v>
      </c>
    </row>
    <row r="2377" spans="30:32">
      <c r="AD2377" s="50">
        <v>442.8</v>
      </c>
      <c r="AE2377" s="51">
        <v>29.571000000000002</v>
      </c>
      <c r="AF2377" s="52">
        <f t="shared" si="281"/>
        <v>0.52913398872587525</v>
      </c>
    </row>
    <row r="2378" spans="30:32">
      <c r="AD2378" s="50">
        <v>442.7</v>
      </c>
      <c r="AE2378" s="51">
        <v>32.393999999999998</v>
      </c>
      <c r="AF2378" s="52">
        <f t="shared" si="281"/>
        <v>0.48953542214511386</v>
      </c>
    </row>
    <row r="2379" spans="30:32">
      <c r="AD2379" s="50">
        <v>442.6</v>
      </c>
      <c r="AE2379" s="51">
        <v>35.100999999999999</v>
      </c>
      <c r="AF2379" s="52">
        <f t="shared" si="281"/>
        <v>0.45468051064826454</v>
      </c>
    </row>
    <row r="2380" spans="30:32">
      <c r="AD2380" s="50">
        <v>442.5</v>
      </c>
      <c r="AE2380" s="51">
        <v>37.743000000000002</v>
      </c>
      <c r="AF2380" s="52">
        <f t="shared" si="281"/>
        <v>0.42316358292931389</v>
      </c>
    </row>
    <row r="2381" spans="30:32">
      <c r="AD2381" s="50">
        <v>442.4</v>
      </c>
      <c r="AE2381" s="51">
        <v>40.249000000000002</v>
      </c>
      <c r="AF2381" s="52">
        <f t="shared" si="281"/>
        <v>0.39524490535516743</v>
      </c>
    </row>
    <row r="2382" spans="30:32">
      <c r="AD2382" s="50">
        <v>442.3</v>
      </c>
      <c r="AE2382" s="51">
        <v>42.631999999999998</v>
      </c>
      <c r="AF2382" s="52">
        <f t="shared" si="281"/>
        <v>0.37026429276714462</v>
      </c>
    </row>
    <row r="2383" spans="30:32">
      <c r="AD2383" s="50">
        <v>442.2</v>
      </c>
      <c r="AE2383" s="51">
        <v>44.886000000000003</v>
      </c>
      <c r="AF2383" s="52">
        <f t="shared" si="281"/>
        <v>0.34788909487300318</v>
      </c>
    </row>
    <row r="2384" spans="30:32">
      <c r="AD2384" s="50">
        <v>442.1</v>
      </c>
      <c r="AE2384" s="51">
        <v>46.951999999999998</v>
      </c>
      <c r="AF2384" s="52">
        <f t="shared" si="281"/>
        <v>0.32834590349448295</v>
      </c>
    </row>
    <row r="2385" spans="30:32">
      <c r="AD2385" s="50">
        <v>442</v>
      </c>
      <c r="AE2385" s="51">
        <v>48.978000000000002</v>
      </c>
      <c r="AF2385" s="52">
        <f t="shared" si="281"/>
        <v>0.30999895311693626</v>
      </c>
    </row>
    <row r="2386" spans="30:32">
      <c r="AD2386" s="50">
        <v>441.9</v>
      </c>
      <c r="AE2386" s="51">
        <v>50.866999999999997</v>
      </c>
      <c r="AF2386" s="52">
        <f t="shared" si="281"/>
        <v>0.293563875143665</v>
      </c>
    </row>
    <row r="2387" spans="30:32">
      <c r="AD2387" s="50">
        <v>441.8</v>
      </c>
      <c r="AE2387" s="51">
        <v>52.604999999999997</v>
      </c>
      <c r="AF2387" s="52">
        <f t="shared" si="281"/>
        <v>0.27897297506281621</v>
      </c>
    </row>
    <row r="2388" spans="30:32">
      <c r="AD2388" s="50">
        <v>441.7</v>
      </c>
      <c r="AE2388" s="51">
        <v>54.176000000000002</v>
      </c>
      <c r="AF2388" s="52">
        <f t="shared" si="281"/>
        <v>0.26619306357115874</v>
      </c>
    </row>
    <row r="2389" spans="30:32">
      <c r="AD2389" s="50">
        <v>441.6</v>
      </c>
      <c r="AE2389" s="51">
        <v>55.591000000000001</v>
      </c>
      <c r="AF2389" s="52">
        <f t="shared" si="281"/>
        <v>0.25499551357475675</v>
      </c>
    </row>
    <row r="2390" spans="30:32">
      <c r="AD2390" s="50">
        <v>441.5</v>
      </c>
      <c r="AE2390" s="51">
        <v>57.024999999999999</v>
      </c>
      <c r="AF2390" s="52">
        <f t="shared" si="281"/>
        <v>0.24393470605131379</v>
      </c>
    </row>
    <row r="2391" spans="30:32">
      <c r="AD2391" s="50">
        <v>441.4</v>
      </c>
      <c r="AE2391" s="51">
        <v>58.341000000000001</v>
      </c>
      <c r="AF2391" s="52">
        <f t="shared" si="281"/>
        <v>0.23402613108058976</v>
      </c>
    </row>
    <row r="2392" spans="30:32">
      <c r="AD2392" s="50">
        <v>441.3</v>
      </c>
      <c r="AE2392" s="51">
        <v>59.591000000000001</v>
      </c>
      <c r="AF2392" s="52">
        <f t="shared" si="281"/>
        <v>0.22481932659337192</v>
      </c>
    </row>
    <row r="2393" spans="30:32">
      <c r="AD2393" s="50">
        <v>441.2</v>
      </c>
      <c r="AE2393" s="51">
        <v>60.72</v>
      </c>
      <c r="AF2393" s="52">
        <f t="shared" si="281"/>
        <v>0.21666823711257607</v>
      </c>
    </row>
    <row r="2394" spans="30:32">
      <c r="AD2394" s="50">
        <v>441.1</v>
      </c>
      <c r="AE2394" s="51">
        <v>61.792999999999999</v>
      </c>
      <c r="AF2394" s="52">
        <f t="shared" si="281"/>
        <v>0.20906071962895256</v>
      </c>
    </row>
    <row r="2395" spans="30:32">
      <c r="AD2395" s="50">
        <v>441</v>
      </c>
      <c r="AE2395" s="51">
        <v>62.779000000000003</v>
      </c>
      <c r="AF2395" s="52">
        <f t="shared" si="281"/>
        <v>0.20218560641139524</v>
      </c>
    </row>
    <row r="2396" spans="30:32">
      <c r="AD2396" s="50">
        <v>440.9</v>
      </c>
      <c r="AE2396" s="51">
        <v>63.704000000000001</v>
      </c>
      <c r="AF2396" s="52">
        <f t="shared" si="281"/>
        <v>0.19583329728180152</v>
      </c>
    </row>
    <row r="2397" spans="30:32">
      <c r="AD2397" s="50">
        <v>440.8</v>
      </c>
      <c r="AE2397" s="51">
        <v>64.573999999999998</v>
      </c>
      <c r="AF2397" s="52">
        <f t="shared" si="281"/>
        <v>0.18994231063423717</v>
      </c>
    </row>
    <row r="2398" spans="30:32">
      <c r="AD2398" s="50">
        <v>440.7</v>
      </c>
      <c r="AE2398" s="51">
        <v>65.418000000000006</v>
      </c>
      <c r="AF2398" s="52">
        <f t="shared" si="281"/>
        <v>0.18430273753052953</v>
      </c>
    </row>
    <row r="2399" spans="30:32">
      <c r="AD2399" s="50">
        <v>440.6</v>
      </c>
      <c r="AE2399" s="51">
        <v>66.278999999999996</v>
      </c>
      <c r="AF2399" s="52">
        <f t="shared" si="281"/>
        <v>0.17862405272340315</v>
      </c>
    </row>
    <row r="2400" spans="30:32">
      <c r="AD2400" s="50">
        <v>440.5</v>
      </c>
      <c r="AE2400" s="51">
        <v>67.048000000000002</v>
      </c>
      <c r="AF2400" s="52">
        <f t="shared" si="281"/>
        <v>0.1736141723525525</v>
      </c>
    </row>
    <row r="2401" spans="30:32">
      <c r="AD2401" s="50">
        <v>440.4</v>
      </c>
      <c r="AE2401" s="51">
        <v>67.754999999999995</v>
      </c>
      <c r="AF2401" s="52">
        <f t="shared" si="281"/>
        <v>0.16905865038292456</v>
      </c>
    </row>
    <row r="2402" spans="30:32">
      <c r="AD2402" s="50">
        <v>440.3</v>
      </c>
      <c r="AE2402" s="51">
        <v>68.436999999999998</v>
      </c>
      <c r="AF2402" s="52">
        <f t="shared" si="281"/>
        <v>0.16470903641910001</v>
      </c>
    </row>
    <row r="2403" spans="30:32">
      <c r="AD2403" s="50">
        <v>440.2</v>
      </c>
      <c r="AE2403" s="51">
        <v>69.096000000000004</v>
      </c>
      <c r="AF2403" s="52">
        <f t="shared" si="281"/>
        <v>0.16054709341031195</v>
      </c>
    </row>
    <row r="2404" spans="30:32">
      <c r="AD2404" s="50">
        <v>440.1</v>
      </c>
      <c r="AE2404" s="51">
        <v>69.739000000000004</v>
      </c>
      <c r="AF2404" s="52">
        <f t="shared" si="281"/>
        <v>0.15652428434168264</v>
      </c>
    </row>
    <row r="2405" spans="30:32">
      <c r="AD2405" s="50">
        <v>440</v>
      </c>
      <c r="AE2405" s="51">
        <v>70.364999999999995</v>
      </c>
      <c r="AF2405" s="52">
        <f t="shared" si="281"/>
        <v>0.15264330799716039</v>
      </c>
    </row>
    <row r="2406" spans="30:32">
      <c r="AD2406" s="50">
        <v>439.9</v>
      </c>
      <c r="AE2406" s="51">
        <v>70.956000000000003</v>
      </c>
      <c r="AF2406" s="52">
        <f t="shared" si="281"/>
        <v>0.14901087495326948</v>
      </c>
    </row>
    <row r="2407" spans="30:32">
      <c r="AD2407" s="50">
        <v>439.8</v>
      </c>
      <c r="AE2407" s="51">
        <v>71.486000000000004</v>
      </c>
      <c r="AF2407" s="52">
        <f t="shared" si="281"/>
        <v>0.14577900320704706</v>
      </c>
    </row>
    <row r="2408" spans="30:32">
      <c r="AD2408" s="50">
        <v>439.7</v>
      </c>
      <c r="AE2408" s="51">
        <v>71.994</v>
      </c>
      <c r="AF2408" s="52">
        <f t="shared" si="281"/>
        <v>0.14270369628360752</v>
      </c>
    </row>
    <row r="2409" spans="30:32">
      <c r="AD2409" s="50">
        <v>439.6</v>
      </c>
      <c r="AE2409" s="51">
        <v>72.507000000000005</v>
      </c>
      <c r="AF2409" s="52">
        <f t="shared" si="281"/>
        <v>0.13962006357216231</v>
      </c>
    </row>
    <row r="2410" spans="30:32">
      <c r="AD2410" s="50">
        <v>439.5</v>
      </c>
      <c r="AE2410" s="51">
        <v>72.983999999999995</v>
      </c>
      <c r="AF2410" s="52">
        <f t="shared" si="281"/>
        <v>0.13677233814426185</v>
      </c>
    </row>
    <row r="2411" spans="30:32">
      <c r="AD2411" s="50">
        <v>439.4</v>
      </c>
      <c r="AE2411" s="51">
        <v>73.456999999999994</v>
      </c>
      <c r="AF2411" s="52">
        <f t="shared" si="281"/>
        <v>0.13396681231049598</v>
      </c>
    </row>
    <row r="2412" spans="30:32">
      <c r="AD2412" s="50">
        <v>439.3</v>
      </c>
      <c r="AE2412" s="51">
        <v>73.994</v>
      </c>
      <c r="AF2412" s="52">
        <f t="shared" si="281"/>
        <v>0.13080349476275796</v>
      </c>
    </row>
    <row r="2413" spans="30:32">
      <c r="AD2413" s="50">
        <v>439.2</v>
      </c>
      <c r="AE2413" s="51">
        <v>74.436999999999998</v>
      </c>
      <c r="AF2413" s="52">
        <f t="shared" si="281"/>
        <v>0.12821113835830597</v>
      </c>
    </row>
    <row r="2414" spans="30:32">
      <c r="AD2414" s="50">
        <v>439.1</v>
      </c>
      <c r="AE2414" s="51">
        <v>74.843999999999994</v>
      </c>
      <c r="AF2414" s="52">
        <f t="shared" si="281"/>
        <v>0.12584300990124356</v>
      </c>
    </row>
    <row r="2415" spans="30:32">
      <c r="AD2415" s="50">
        <v>439</v>
      </c>
      <c r="AE2415" s="51">
        <v>75.260999999999996</v>
      </c>
      <c r="AF2415" s="52">
        <f t="shared" si="281"/>
        <v>0.12343001546610617</v>
      </c>
    </row>
    <row r="2416" spans="30:32">
      <c r="AD2416" s="50">
        <v>438.9</v>
      </c>
      <c r="AE2416" s="51">
        <v>75.641999999999996</v>
      </c>
      <c r="AF2416" s="52">
        <f t="shared" si="281"/>
        <v>0.12123699678256622</v>
      </c>
    </row>
    <row r="2417" spans="30:32">
      <c r="AD2417" s="50">
        <v>438.8</v>
      </c>
      <c r="AE2417" s="51">
        <v>76.088999999999999</v>
      </c>
      <c r="AF2417" s="52">
        <f t="shared" si="281"/>
        <v>0.11867812357898275</v>
      </c>
    </row>
    <row r="2418" spans="30:32">
      <c r="AD2418" s="50">
        <v>438.7</v>
      </c>
      <c r="AE2418" s="51">
        <v>76.510999999999996</v>
      </c>
      <c r="AF2418" s="52">
        <f t="shared" si="281"/>
        <v>0.11627612176308559</v>
      </c>
    </row>
    <row r="2419" spans="30:32">
      <c r="AD2419" s="50">
        <v>438.6</v>
      </c>
      <c r="AE2419" s="51">
        <v>76.84</v>
      </c>
      <c r="AF2419" s="52">
        <f t="shared" si="281"/>
        <v>0.11441264381034391</v>
      </c>
    </row>
    <row r="2420" spans="30:32">
      <c r="AD2420" s="50">
        <v>438.5</v>
      </c>
      <c r="AE2420" s="51">
        <v>77.171000000000006</v>
      </c>
      <c r="AF2420" s="52">
        <f t="shared" si="281"/>
        <v>0.11254587202336429</v>
      </c>
    </row>
    <row r="2421" spans="30:32">
      <c r="AD2421" s="50">
        <v>438.4</v>
      </c>
      <c r="AE2421" s="51">
        <v>77.52</v>
      </c>
      <c r="AF2421" s="52">
        <f t="shared" si="281"/>
        <v>0.11058623595729108</v>
      </c>
    </row>
    <row r="2422" spans="30:32">
      <c r="AD2422" s="50">
        <v>438.3</v>
      </c>
      <c r="AE2422" s="51">
        <v>77.915999999999997</v>
      </c>
      <c r="AF2422" s="52">
        <f t="shared" si="281"/>
        <v>0.10837335107961923</v>
      </c>
    </row>
    <row r="2423" spans="30:32">
      <c r="AD2423" s="50">
        <v>438.2</v>
      </c>
      <c r="AE2423" s="51">
        <v>78.3</v>
      </c>
      <c r="AF2423" s="52">
        <f t="shared" si="281"/>
        <v>0.10623823794205664</v>
      </c>
    </row>
    <row r="2424" spans="30:32">
      <c r="AD2424" s="50">
        <v>438.1</v>
      </c>
      <c r="AE2424" s="51">
        <v>78.677999999999997</v>
      </c>
      <c r="AF2424" s="52">
        <f t="shared" si="281"/>
        <v>0.10414668840704139</v>
      </c>
    </row>
    <row r="2425" spans="30:32">
      <c r="AD2425" s="50">
        <v>438</v>
      </c>
      <c r="AE2425" s="51">
        <v>79.031999999999996</v>
      </c>
      <c r="AF2425" s="52">
        <f t="shared" si="281"/>
        <v>0.10219702757648624</v>
      </c>
    </row>
    <row r="2426" spans="30:32">
      <c r="AD2426" s="50">
        <v>437.9</v>
      </c>
      <c r="AE2426" s="51">
        <v>79.356999999999999</v>
      </c>
      <c r="AF2426" s="52">
        <f t="shared" si="281"/>
        <v>0.10041475854632236</v>
      </c>
    </row>
    <row r="2427" spans="30:32">
      <c r="AD2427" s="50">
        <v>437.8</v>
      </c>
      <c r="AE2427" s="51">
        <v>79.637</v>
      </c>
      <c r="AF2427" s="52">
        <f t="shared" si="281"/>
        <v>9.8885108614314363E-2</v>
      </c>
    </row>
    <row r="2428" spans="30:32">
      <c r="AD2428" s="50">
        <v>437.7</v>
      </c>
      <c r="AE2428" s="51">
        <v>79.950999999999993</v>
      </c>
      <c r="AF2428" s="52">
        <f t="shared" si="281"/>
        <v>9.7176099875646613E-2</v>
      </c>
    </row>
    <row r="2429" spans="30:32">
      <c r="AD2429" s="50">
        <v>437.6</v>
      </c>
      <c r="AE2429" s="51">
        <v>80.245000000000005</v>
      </c>
      <c r="AF2429" s="52">
        <f t="shared" si="281"/>
        <v>9.5582018612304545E-2</v>
      </c>
    </row>
    <row r="2430" spans="30:32">
      <c r="AD2430" s="50">
        <v>437.5</v>
      </c>
      <c r="AE2430" s="51">
        <v>80.564999999999998</v>
      </c>
      <c r="AF2430" s="52">
        <f t="shared" si="281"/>
        <v>9.3853588568819021E-2</v>
      </c>
    </row>
    <row r="2431" spans="30:32">
      <c r="AD2431" s="50">
        <v>437.4</v>
      </c>
      <c r="AE2431" s="51">
        <v>80.849999999999994</v>
      </c>
      <c r="AF2431" s="52">
        <f t="shared" si="281"/>
        <v>9.2319975757580053E-2</v>
      </c>
    </row>
    <row r="2432" spans="30:32">
      <c r="AD2432" s="50">
        <v>437.3</v>
      </c>
      <c r="AE2432" s="51">
        <v>81.14</v>
      </c>
      <c r="AF2432" s="52">
        <f t="shared" si="281"/>
        <v>9.0764996631692615E-2</v>
      </c>
    </row>
    <row r="2433" spans="30:32">
      <c r="AD2433" s="50">
        <v>437.2</v>
      </c>
      <c r="AE2433" s="51">
        <v>81.405000000000001</v>
      </c>
      <c r="AF2433" s="52">
        <f t="shared" si="281"/>
        <v>8.9348919364842544E-2</v>
      </c>
    </row>
    <row r="2434" spans="30:32">
      <c r="AD2434" s="50">
        <v>437.1</v>
      </c>
      <c r="AE2434" s="51">
        <v>81.637</v>
      </c>
      <c r="AF2434" s="52">
        <f t="shared" si="281"/>
        <v>8.8112963135102612E-2</v>
      </c>
    </row>
    <row r="2435" spans="30:32">
      <c r="AD2435" s="50">
        <v>437</v>
      </c>
      <c r="AE2435" s="51">
        <v>81.846999999999994</v>
      </c>
      <c r="AF2435" s="52">
        <f t="shared" si="281"/>
        <v>8.6997234484455246E-2</v>
      </c>
    </row>
    <row r="2436" spans="30:32">
      <c r="AD2436" s="50">
        <v>436.9</v>
      </c>
      <c r="AE2436" s="51">
        <v>82.158000000000001</v>
      </c>
      <c r="AF2436" s="52">
        <f t="shared" si="281"/>
        <v>8.5350141459657219E-2</v>
      </c>
    </row>
    <row r="2437" spans="30:32">
      <c r="AD2437" s="50">
        <v>436.8</v>
      </c>
      <c r="AE2437" s="51">
        <v>82.382000000000005</v>
      </c>
      <c r="AF2437" s="52">
        <f t="shared" ref="AF2437:AF2500" si="282">-LOG(AE2437/100)</f>
        <v>8.416766882023867E-2</v>
      </c>
    </row>
    <row r="2438" spans="30:32">
      <c r="AD2438" s="50">
        <v>436.7</v>
      </c>
      <c r="AE2438" s="51">
        <v>82.665000000000006</v>
      </c>
      <c r="AF2438" s="52">
        <f t="shared" si="282"/>
        <v>8.2678329918847937E-2</v>
      </c>
    </row>
    <row r="2439" spans="30:32">
      <c r="AD2439" s="50">
        <v>436.6</v>
      </c>
      <c r="AE2439" s="51">
        <v>82.765000000000001</v>
      </c>
      <c r="AF2439" s="52">
        <f t="shared" si="282"/>
        <v>8.2153280611224608E-2</v>
      </c>
    </row>
    <row r="2440" spans="30:32">
      <c r="AD2440" s="50">
        <v>436.5</v>
      </c>
      <c r="AE2440" s="51">
        <v>83.009</v>
      </c>
      <c r="AF2440" s="52">
        <f t="shared" si="282"/>
        <v>8.0874818004195131E-2</v>
      </c>
    </row>
    <row r="2441" spans="30:32">
      <c r="AD2441" s="50">
        <v>436.4</v>
      </c>
      <c r="AE2441" s="51">
        <v>83.194999999999993</v>
      </c>
      <c r="AF2441" s="52">
        <f t="shared" si="282"/>
        <v>7.9902773921544115E-2</v>
      </c>
    </row>
    <row r="2442" spans="30:32">
      <c r="AD2442" s="50">
        <v>436.3</v>
      </c>
      <c r="AE2442" s="51">
        <v>83.337000000000003</v>
      </c>
      <c r="AF2442" s="52">
        <f t="shared" si="282"/>
        <v>7.916213751080578E-2</v>
      </c>
    </row>
    <row r="2443" spans="30:32">
      <c r="AD2443" s="50">
        <v>436.2</v>
      </c>
      <c r="AE2443" s="51">
        <v>83.494</v>
      </c>
      <c r="AF2443" s="52">
        <f t="shared" si="282"/>
        <v>7.8344732426772423E-2</v>
      </c>
    </row>
    <row r="2444" spans="30:32">
      <c r="AD2444" s="50">
        <v>436.1</v>
      </c>
      <c r="AE2444" s="51">
        <v>83.701999999999998</v>
      </c>
      <c r="AF2444" s="52">
        <f t="shared" si="282"/>
        <v>7.7264164723746406E-2</v>
      </c>
    </row>
    <row r="2445" spans="30:32">
      <c r="AD2445" s="50">
        <v>436</v>
      </c>
      <c r="AE2445" s="51">
        <v>83.882999999999996</v>
      </c>
      <c r="AF2445" s="52">
        <f t="shared" si="282"/>
        <v>7.6326045777661763E-2</v>
      </c>
    </row>
    <row r="2446" spans="30:32">
      <c r="AD2446" s="50">
        <v>435.9</v>
      </c>
      <c r="AE2446" s="51">
        <v>84.024000000000001</v>
      </c>
      <c r="AF2446" s="52">
        <f t="shared" si="282"/>
        <v>7.5596647523361371E-2</v>
      </c>
    </row>
    <row r="2447" spans="30:32">
      <c r="AD2447" s="50">
        <v>435.8</v>
      </c>
      <c r="AE2447" s="51">
        <v>84.081999999999994</v>
      </c>
      <c r="AF2447" s="52">
        <f t="shared" si="282"/>
        <v>7.5296966596447648E-2</v>
      </c>
    </row>
    <row r="2448" spans="30:32">
      <c r="AD2448" s="50">
        <v>435.7</v>
      </c>
      <c r="AE2448" s="51">
        <v>84.162000000000006</v>
      </c>
      <c r="AF2448" s="52">
        <f t="shared" si="282"/>
        <v>7.4883952626608907E-2</v>
      </c>
    </row>
    <row r="2449" spans="30:32">
      <c r="AD2449" s="50">
        <v>435.6</v>
      </c>
      <c r="AE2449" s="51">
        <v>84.254999999999995</v>
      </c>
      <c r="AF2449" s="52">
        <f t="shared" si="282"/>
        <v>7.4404317068176545E-2</v>
      </c>
    </row>
    <row r="2450" spans="30:32">
      <c r="AD2450" s="50">
        <v>435.5</v>
      </c>
      <c r="AE2450" s="51">
        <v>84.441000000000003</v>
      </c>
      <c r="AF2450" s="52">
        <f t="shared" si="282"/>
        <v>7.3446632163169628E-2</v>
      </c>
    </row>
    <row r="2451" spans="30:32">
      <c r="AD2451" s="50">
        <v>435.4</v>
      </c>
      <c r="AE2451" s="51">
        <v>84.57</v>
      </c>
      <c r="AF2451" s="52">
        <f t="shared" si="282"/>
        <v>7.2783669408735291E-2</v>
      </c>
    </row>
    <row r="2452" spans="30:32">
      <c r="AD2452" s="50">
        <v>435.3</v>
      </c>
      <c r="AE2452" s="51">
        <v>84.641999999999996</v>
      </c>
      <c r="AF2452" s="52">
        <f t="shared" si="282"/>
        <v>7.241408327318756E-2</v>
      </c>
    </row>
    <row r="2453" spans="30:32">
      <c r="AD2453" s="50">
        <v>435.2</v>
      </c>
      <c r="AE2453" s="51">
        <v>84.683999999999997</v>
      </c>
      <c r="AF2453" s="52">
        <f t="shared" si="282"/>
        <v>7.2198636518241308E-2</v>
      </c>
    </row>
    <row r="2454" spans="30:32">
      <c r="AD2454" s="50">
        <v>435.1</v>
      </c>
      <c r="AE2454" s="51">
        <v>84.745000000000005</v>
      </c>
      <c r="AF2454" s="52">
        <f t="shared" si="282"/>
        <v>7.1885915974051529E-2</v>
      </c>
    </row>
    <row r="2455" spans="30:32">
      <c r="AD2455" s="50">
        <v>435</v>
      </c>
      <c r="AE2455" s="51">
        <v>84.784999999999997</v>
      </c>
      <c r="AF2455" s="52">
        <f t="shared" si="282"/>
        <v>7.1680975496277749E-2</v>
      </c>
    </row>
    <row r="2456" spans="30:32">
      <c r="AD2456" s="50">
        <v>434.9</v>
      </c>
      <c r="AE2456" s="51">
        <v>84.882000000000005</v>
      </c>
      <c r="AF2456" s="52">
        <f t="shared" si="282"/>
        <v>7.118439608679554E-2</v>
      </c>
    </row>
    <row r="2457" spans="30:32">
      <c r="AD2457" s="50">
        <v>434.8</v>
      </c>
      <c r="AE2457" s="51">
        <v>84.911000000000001</v>
      </c>
      <c r="AF2457" s="52">
        <f t="shared" si="282"/>
        <v>7.1036044386811895E-2</v>
      </c>
    </row>
    <row r="2458" spans="30:32">
      <c r="AD2458" s="50">
        <v>434.7</v>
      </c>
      <c r="AE2458" s="51">
        <v>84.981999999999999</v>
      </c>
      <c r="AF2458" s="52">
        <f t="shared" si="282"/>
        <v>7.0673052268122788E-2</v>
      </c>
    </row>
    <row r="2459" spans="30:32">
      <c r="AD2459" s="50">
        <v>434.6</v>
      </c>
      <c r="AE2459" s="51">
        <v>84.992000000000004</v>
      </c>
      <c r="AF2459" s="52">
        <f t="shared" si="282"/>
        <v>7.062195098411414E-2</v>
      </c>
    </row>
    <row r="2460" spans="30:32">
      <c r="AD2460" s="50">
        <v>434.5</v>
      </c>
      <c r="AE2460" s="51">
        <v>84.998999999999995</v>
      </c>
      <c r="AF2460" s="52">
        <f t="shared" si="282"/>
        <v>7.0586183662608451E-2</v>
      </c>
    </row>
    <row r="2461" spans="30:32">
      <c r="AD2461" s="50">
        <v>434.4</v>
      </c>
      <c r="AE2461" s="51">
        <v>85.043999999999997</v>
      </c>
      <c r="AF2461" s="52">
        <f t="shared" si="282"/>
        <v>7.035632119085862E-2</v>
      </c>
    </row>
    <row r="2462" spans="30:32">
      <c r="AD2462" s="50">
        <v>434.3</v>
      </c>
      <c r="AE2462" s="51">
        <v>85.057000000000002</v>
      </c>
      <c r="AF2462" s="52">
        <f t="shared" si="282"/>
        <v>7.0289939120491751E-2</v>
      </c>
    </row>
    <row r="2463" spans="30:32">
      <c r="AD2463" s="50">
        <v>434.2</v>
      </c>
      <c r="AE2463" s="51">
        <v>85.132000000000005</v>
      </c>
      <c r="AF2463" s="52">
        <f t="shared" si="282"/>
        <v>6.9907163638512362E-2</v>
      </c>
    </row>
    <row r="2464" spans="30:32">
      <c r="AD2464" s="50">
        <v>434.1</v>
      </c>
      <c r="AE2464" s="51">
        <v>85.134</v>
      </c>
      <c r="AF2464" s="52">
        <f t="shared" si="282"/>
        <v>6.9896960909090838E-2</v>
      </c>
    </row>
    <row r="2465" spans="30:32">
      <c r="AD2465" s="50">
        <v>434</v>
      </c>
      <c r="AE2465" s="51">
        <v>85.146000000000001</v>
      </c>
      <c r="AF2465" s="52">
        <f t="shared" si="282"/>
        <v>6.9835749565521812E-2</v>
      </c>
    </row>
    <row r="2466" spans="30:32">
      <c r="AD2466" s="50">
        <v>433.9</v>
      </c>
      <c r="AE2466" s="51">
        <v>85.155000000000001</v>
      </c>
      <c r="AF2466" s="52">
        <f t="shared" si="282"/>
        <v>6.9789846718905882E-2</v>
      </c>
    </row>
    <row r="2467" spans="30:32">
      <c r="AD2467" s="50">
        <v>433.8</v>
      </c>
      <c r="AE2467" s="51">
        <v>85.116</v>
      </c>
      <c r="AF2467" s="52">
        <f t="shared" si="282"/>
        <v>6.9988794103844246E-2</v>
      </c>
    </row>
    <row r="2468" spans="30:32">
      <c r="AD2468" s="50">
        <v>433.7</v>
      </c>
      <c r="AE2468" s="51">
        <v>85.132000000000005</v>
      </c>
      <c r="AF2468" s="52">
        <f t="shared" si="282"/>
        <v>6.9907163638512362E-2</v>
      </c>
    </row>
    <row r="2469" spans="30:32">
      <c r="AD2469" s="50">
        <v>433.6</v>
      </c>
      <c r="AE2469" s="51">
        <v>85.183999999999997</v>
      </c>
      <c r="AF2469" s="52">
        <f t="shared" si="282"/>
        <v>6.9641970541437739E-2</v>
      </c>
    </row>
    <row r="2470" spans="30:32">
      <c r="AD2470" s="50">
        <v>433.5</v>
      </c>
      <c r="AE2470" s="51">
        <v>85.225999999999999</v>
      </c>
      <c r="AF2470" s="52">
        <f t="shared" si="282"/>
        <v>6.9427894271156948E-2</v>
      </c>
    </row>
    <row r="2471" spans="30:32">
      <c r="AD2471" s="50">
        <v>433.4</v>
      </c>
      <c r="AE2471" s="51">
        <v>85.194999999999993</v>
      </c>
      <c r="AF2471" s="52">
        <f t="shared" si="282"/>
        <v>6.9585892746550165E-2</v>
      </c>
    </row>
    <row r="2472" spans="30:32">
      <c r="AD2472" s="50">
        <v>433.3</v>
      </c>
      <c r="AE2472" s="51">
        <v>85.234999999999999</v>
      </c>
      <c r="AF2472" s="52">
        <f t="shared" si="282"/>
        <v>6.9382034510381663E-2</v>
      </c>
    </row>
    <row r="2473" spans="30:32">
      <c r="AD2473" s="50">
        <v>433.2</v>
      </c>
      <c r="AE2473" s="51">
        <v>85.227000000000004</v>
      </c>
      <c r="AF2473" s="52">
        <f t="shared" si="282"/>
        <v>6.9422798503034219E-2</v>
      </c>
    </row>
    <row r="2474" spans="30:32">
      <c r="AD2474" s="50">
        <v>433.1</v>
      </c>
      <c r="AE2474" s="51">
        <v>85.248999999999995</v>
      </c>
      <c r="AF2474" s="52">
        <f t="shared" si="282"/>
        <v>6.9310706728767962E-2</v>
      </c>
    </row>
    <row r="2475" spans="30:32">
      <c r="AD2475" s="50">
        <v>433</v>
      </c>
      <c r="AE2475" s="51">
        <v>85.304000000000002</v>
      </c>
      <c r="AF2475" s="52">
        <f t="shared" si="282"/>
        <v>6.9030603800848966E-2</v>
      </c>
    </row>
    <row r="2476" spans="30:32">
      <c r="AD2476" s="50">
        <v>432.9</v>
      </c>
      <c r="AE2476" s="51">
        <v>85.370999999999995</v>
      </c>
      <c r="AF2476" s="52">
        <f t="shared" si="282"/>
        <v>6.8689631405569121E-2</v>
      </c>
    </row>
    <row r="2477" spans="30:32">
      <c r="AD2477" s="50">
        <v>432.8</v>
      </c>
      <c r="AE2477" s="51">
        <v>85.387</v>
      </c>
      <c r="AF2477" s="52">
        <f t="shared" si="282"/>
        <v>6.8608244744554236E-2</v>
      </c>
    </row>
    <row r="2478" spans="30:32">
      <c r="AD2478" s="50">
        <v>432.7</v>
      </c>
      <c r="AE2478" s="51">
        <v>85.44</v>
      </c>
      <c r="AF2478" s="52">
        <f t="shared" si="282"/>
        <v>6.8338760315518832E-2</v>
      </c>
    </row>
    <row r="2479" spans="30:32">
      <c r="AD2479" s="50">
        <v>432.6</v>
      </c>
      <c r="AE2479" s="51">
        <v>85.453999999999994</v>
      </c>
      <c r="AF2479" s="52">
        <f t="shared" si="282"/>
        <v>6.8267603659811216E-2</v>
      </c>
    </row>
    <row r="2480" spans="30:32">
      <c r="AD2480" s="50">
        <v>432.5</v>
      </c>
      <c r="AE2480" s="51">
        <v>85.489000000000004</v>
      </c>
      <c r="AF2480" s="52">
        <f t="shared" si="282"/>
        <v>6.808976301024941E-2</v>
      </c>
    </row>
    <row r="2481" spans="30:32">
      <c r="AD2481" s="50">
        <v>432.4</v>
      </c>
      <c r="AE2481" s="51">
        <v>85.548000000000002</v>
      </c>
      <c r="AF2481" s="52">
        <f t="shared" si="282"/>
        <v>6.7790139239385441E-2</v>
      </c>
    </row>
    <row r="2482" spans="30:32">
      <c r="AD2482" s="50">
        <v>432.3</v>
      </c>
      <c r="AE2482" s="51">
        <v>85.599000000000004</v>
      </c>
      <c r="AF2482" s="52">
        <f t="shared" si="282"/>
        <v>6.7531308886149208E-2</v>
      </c>
    </row>
    <row r="2483" spans="30:32">
      <c r="AD2483" s="50">
        <v>432.2</v>
      </c>
      <c r="AE2483" s="51">
        <v>85.650999999999996</v>
      </c>
      <c r="AF2483" s="52">
        <f t="shared" si="282"/>
        <v>6.7267562156186567E-2</v>
      </c>
    </row>
    <row r="2484" spans="30:32">
      <c r="AD2484" s="50">
        <v>432.1</v>
      </c>
      <c r="AE2484" s="51">
        <v>85.766000000000005</v>
      </c>
      <c r="AF2484" s="52">
        <f t="shared" si="282"/>
        <v>6.6684844305427773E-2</v>
      </c>
    </row>
    <row r="2485" spans="30:32">
      <c r="AD2485" s="50">
        <v>432</v>
      </c>
      <c r="AE2485" s="51">
        <v>85.778999999999996</v>
      </c>
      <c r="AF2485" s="52">
        <f t="shared" si="282"/>
        <v>6.6619021013865284E-2</v>
      </c>
    </row>
    <row r="2486" spans="30:32">
      <c r="AD2486" s="50">
        <v>431.9</v>
      </c>
      <c r="AE2486" s="51">
        <v>85.802000000000007</v>
      </c>
      <c r="AF2486" s="52">
        <f t="shared" si="282"/>
        <v>6.6502588854784606E-2</v>
      </c>
    </row>
    <row r="2487" spans="30:32">
      <c r="AD2487" s="50">
        <v>431.8</v>
      </c>
      <c r="AE2487" s="51">
        <v>85.866</v>
      </c>
      <c r="AF2487" s="52">
        <f t="shared" si="282"/>
        <v>6.6178767896545088E-2</v>
      </c>
    </row>
    <row r="2488" spans="30:32">
      <c r="AD2488" s="50">
        <v>431.7</v>
      </c>
      <c r="AE2488" s="51">
        <v>85.938999999999993</v>
      </c>
      <c r="AF2488" s="52">
        <f t="shared" si="282"/>
        <v>6.5809704143023909E-2</v>
      </c>
    </row>
    <row r="2489" spans="30:32">
      <c r="AD2489" s="50">
        <v>431.6</v>
      </c>
      <c r="AE2489" s="51">
        <v>85.977000000000004</v>
      </c>
      <c r="AF2489" s="52">
        <f t="shared" si="282"/>
        <v>6.561771281492064E-2</v>
      </c>
    </row>
    <row r="2490" spans="30:32">
      <c r="AD2490" s="50">
        <v>431.5</v>
      </c>
      <c r="AE2490" s="51">
        <v>86.072999999999993</v>
      </c>
      <c r="AF2490" s="52">
        <f t="shared" si="282"/>
        <v>6.5133059811845806E-2</v>
      </c>
    </row>
    <row r="2491" spans="30:32">
      <c r="AD2491" s="50">
        <v>431.4</v>
      </c>
      <c r="AE2491" s="51">
        <v>86.075000000000003</v>
      </c>
      <c r="AF2491" s="52">
        <f t="shared" si="282"/>
        <v>6.5122968623288854E-2</v>
      </c>
    </row>
    <row r="2492" spans="30:32">
      <c r="AD2492" s="50">
        <v>431.3</v>
      </c>
      <c r="AE2492" s="51">
        <v>86.084999999999994</v>
      </c>
      <c r="AF2492" s="52">
        <f t="shared" si="282"/>
        <v>6.5072516197360514E-2</v>
      </c>
    </row>
    <row r="2493" spans="30:32">
      <c r="AD2493" s="50">
        <v>431.2</v>
      </c>
      <c r="AE2493" s="51">
        <v>86.114000000000004</v>
      </c>
      <c r="AF2493" s="52">
        <f t="shared" si="282"/>
        <v>6.4926237298014208E-2</v>
      </c>
    </row>
    <row r="2494" spans="30:32">
      <c r="AD2494" s="50">
        <v>431.1</v>
      </c>
      <c r="AE2494" s="51">
        <v>86.17</v>
      </c>
      <c r="AF2494" s="52">
        <f t="shared" si="282"/>
        <v>6.4643907054426852E-2</v>
      </c>
    </row>
    <row r="2495" spans="30:32">
      <c r="AD2495" s="50">
        <v>431</v>
      </c>
      <c r="AE2495" s="51">
        <v>86.221000000000004</v>
      </c>
      <c r="AF2495" s="52">
        <f t="shared" si="282"/>
        <v>6.4386944460982504E-2</v>
      </c>
    </row>
    <row r="2496" spans="30:32">
      <c r="AD2496" s="50">
        <v>430.9</v>
      </c>
      <c r="AE2496" s="51">
        <v>86.298000000000002</v>
      </c>
      <c r="AF2496" s="52">
        <f t="shared" si="282"/>
        <v>6.3999269163454664E-2</v>
      </c>
    </row>
    <row r="2497" spans="30:32">
      <c r="AD2497" s="50">
        <v>430.8</v>
      </c>
      <c r="AE2497" s="51">
        <v>86.316999999999993</v>
      </c>
      <c r="AF2497" s="52">
        <f t="shared" si="282"/>
        <v>6.3903662232545039E-2</v>
      </c>
    </row>
    <row r="2498" spans="30:32">
      <c r="AD2498" s="50">
        <v>430.7</v>
      </c>
      <c r="AE2498" s="51">
        <v>86.337000000000003</v>
      </c>
      <c r="AF2498" s="52">
        <f t="shared" si="282"/>
        <v>6.3803046090701532E-2</v>
      </c>
    </row>
    <row r="2499" spans="30:32">
      <c r="AD2499" s="50">
        <v>430.6</v>
      </c>
      <c r="AE2499" s="51">
        <v>86.331999999999994</v>
      </c>
      <c r="AF2499" s="52">
        <f t="shared" si="282"/>
        <v>6.3828197940890355E-2</v>
      </c>
    </row>
    <row r="2500" spans="30:32">
      <c r="AD2500" s="50">
        <v>430.5</v>
      </c>
      <c r="AE2500" s="51">
        <v>86.234999999999999</v>
      </c>
      <c r="AF2500" s="52">
        <f t="shared" si="282"/>
        <v>6.4316432298343926E-2</v>
      </c>
    </row>
    <row r="2501" spans="30:32">
      <c r="AD2501" s="50">
        <v>430.4</v>
      </c>
      <c r="AE2501" s="51">
        <v>86.313000000000002</v>
      </c>
      <c r="AF2501" s="52">
        <f t="shared" ref="AF2501:AF2564" si="283">-LOG(AE2501/100)</f>
        <v>6.392378825847235E-2</v>
      </c>
    </row>
    <row r="2502" spans="30:32">
      <c r="AD2502" s="50">
        <v>430.3</v>
      </c>
      <c r="AE2502" s="51">
        <v>86.251000000000005</v>
      </c>
      <c r="AF2502" s="52">
        <f t="shared" si="283"/>
        <v>6.4235860985537269E-2</v>
      </c>
    </row>
    <row r="2503" spans="30:32">
      <c r="AD2503" s="50">
        <v>430.2</v>
      </c>
      <c r="AE2503" s="51">
        <v>86.292000000000002</v>
      </c>
      <c r="AF2503" s="52">
        <f t="shared" si="283"/>
        <v>6.4029465199058888E-2</v>
      </c>
    </row>
    <row r="2504" spans="30:32">
      <c r="AD2504" s="50">
        <v>430.1</v>
      </c>
      <c r="AE2504" s="51">
        <v>86.224000000000004</v>
      </c>
      <c r="AF2504" s="52">
        <f t="shared" si="283"/>
        <v>6.4371833748049792E-2</v>
      </c>
    </row>
    <row r="2505" spans="30:32">
      <c r="AD2505" s="50">
        <v>430</v>
      </c>
      <c r="AE2505" s="51">
        <v>86.144999999999996</v>
      </c>
      <c r="AF2505" s="52">
        <f t="shared" si="283"/>
        <v>6.4769924663152317E-2</v>
      </c>
    </row>
    <row r="2506" spans="30:32">
      <c r="AD2506" s="50">
        <v>429.9</v>
      </c>
      <c r="AE2506" s="51">
        <v>86.061000000000007</v>
      </c>
      <c r="AF2506" s="52">
        <f t="shared" si="283"/>
        <v>6.5193611867700813E-2</v>
      </c>
    </row>
    <row r="2507" spans="30:32">
      <c r="AD2507" s="50">
        <v>429.8</v>
      </c>
      <c r="AE2507" s="51">
        <v>85.975999999999999</v>
      </c>
      <c r="AF2507" s="52">
        <f t="shared" si="283"/>
        <v>6.5622764131058317E-2</v>
      </c>
    </row>
    <row r="2508" spans="30:32">
      <c r="AD2508" s="50">
        <v>429.7</v>
      </c>
      <c r="AE2508" s="51">
        <v>85.933000000000007</v>
      </c>
      <c r="AF2508" s="52">
        <f t="shared" si="283"/>
        <v>6.5840026323396181E-2</v>
      </c>
    </row>
    <row r="2509" spans="30:32">
      <c r="AD2509" s="50">
        <v>429.6</v>
      </c>
      <c r="AE2509" s="51">
        <v>85.84</v>
      </c>
      <c r="AF2509" s="52">
        <f t="shared" si="283"/>
        <v>6.6310291042105299E-2</v>
      </c>
    </row>
    <row r="2510" spans="30:32">
      <c r="AD2510" s="50">
        <v>429.5</v>
      </c>
      <c r="AE2510" s="51">
        <v>85.771000000000001</v>
      </c>
      <c r="AF2510" s="52">
        <f t="shared" si="283"/>
        <v>6.6659526474171227E-2</v>
      </c>
    </row>
    <row r="2511" spans="30:32">
      <c r="AD2511" s="50">
        <v>429.4</v>
      </c>
      <c r="AE2511" s="51">
        <v>85.643000000000001</v>
      </c>
      <c r="AF2511" s="52">
        <f t="shared" si="283"/>
        <v>6.7308128152167163E-2</v>
      </c>
    </row>
    <row r="2512" spans="30:32">
      <c r="AD2512" s="50">
        <v>429.3</v>
      </c>
      <c r="AE2512" s="51">
        <v>85.492000000000004</v>
      </c>
      <c r="AF2512" s="52">
        <f t="shared" si="283"/>
        <v>6.8074522914030045E-2</v>
      </c>
    </row>
    <row r="2513" spans="30:32">
      <c r="AD2513" s="50">
        <v>429.2</v>
      </c>
      <c r="AE2513" s="51">
        <v>85.36</v>
      </c>
      <c r="AF2513" s="52">
        <f t="shared" si="283"/>
        <v>6.8745593583586506E-2</v>
      </c>
    </row>
    <row r="2514" spans="30:32">
      <c r="AD2514" s="50">
        <v>429.1</v>
      </c>
      <c r="AE2514" s="51">
        <v>85.233000000000004</v>
      </c>
      <c r="AF2514" s="52">
        <f t="shared" si="283"/>
        <v>6.9392225149842932E-2</v>
      </c>
    </row>
    <row r="2515" spans="30:32">
      <c r="AD2515" s="50">
        <v>429</v>
      </c>
      <c r="AE2515" s="51">
        <v>85.126000000000005</v>
      </c>
      <c r="AF2515" s="52">
        <f t="shared" si="283"/>
        <v>6.993777326499101E-2</v>
      </c>
    </row>
    <row r="2516" spans="30:32">
      <c r="AD2516" s="50">
        <v>428.9</v>
      </c>
      <c r="AE2516" s="51">
        <v>84.986999999999995</v>
      </c>
      <c r="AF2516" s="52">
        <f t="shared" si="283"/>
        <v>7.0647500874514102E-2</v>
      </c>
    </row>
    <row r="2517" spans="30:32">
      <c r="AD2517" s="50">
        <v>428.8</v>
      </c>
      <c r="AE2517" s="51">
        <v>84.856999999999999</v>
      </c>
      <c r="AF2517" s="52">
        <f t="shared" si="283"/>
        <v>7.1312326169170118E-2</v>
      </c>
    </row>
    <row r="2518" spans="30:32">
      <c r="AD2518" s="50">
        <v>428.7</v>
      </c>
      <c r="AE2518" s="51">
        <v>84.688999999999993</v>
      </c>
      <c r="AF2518" s="52">
        <f t="shared" si="283"/>
        <v>7.2172995212836696E-2</v>
      </c>
    </row>
    <row r="2519" spans="30:32">
      <c r="AD2519" s="50">
        <v>428.6</v>
      </c>
      <c r="AE2519" s="51">
        <v>84.471000000000004</v>
      </c>
      <c r="AF2519" s="52">
        <f t="shared" si="283"/>
        <v>7.3292364442769709E-2</v>
      </c>
    </row>
    <row r="2520" spans="30:32">
      <c r="AD2520" s="50">
        <v>428.5</v>
      </c>
      <c r="AE2520" s="51">
        <v>84.281000000000006</v>
      </c>
      <c r="AF2520" s="52">
        <f t="shared" si="283"/>
        <v>7.427032009875674E-2</v>
      </c>
    </row>
    <row r="2521" spans="30:32">
      <c r="AD2521" s="50">
        <v>428.4</v>
      </c>
      <c r="AE2521" s="51">
        <v>84.113</v>
      </c>
      <c r="AF2521" s="52">
        <f t="shared" si="283"/>
        <v>7.5136877068323088E-2</v>
      </c>
    </row>
    <row r="2522" spans="30:32">
      <c r="AD2522" s="50">
        <v>428.3</v>
      </c>
      <c r="AE2522" s="51">
        <v>83.933999999999997</v>
      </c>
      <c r="AF2522" s="52">
        <f t="shared" si="283"/>
        <v>7.6062079442201877E-2</v>
      </c>
    </row>
    <row r="2523" spans="30:32">
      <c r="AD2523" s="50">
        <v>428.2</v>
      </c>
      <c r="AE2523" s="51">
        <v>83.769000000000005</v>
      </c>
      <c r="AF2523" s="52">
        <f t="shared" si="283"/>
        <v>7.6916668956241149E-2</v>
      </c>
    </row>
    <row r="2524" spans="30:32">
      <c r="AD2524" s="50">
        <v>428.1</v>
      </c>
      <c r="AE2524" s="51">
        <v>83.51</v>
      </c>
      <c r="AF2524" s="52">
        <f t="shared" si="283"/>
        <v>7.8261516315401264E-2</v>
      </c>
    </row>
    <row r="2525" spans="30:32">
      <c r="AD2525" s="50">
        <v>428</v>
      </c>
      <c r="AE2525" s="51">
        <v>83.251000000000005</v>
      </c>
      <c r="AF2525" s="52">
        <f t="shared" si="283"/>
        <v>7.9610541102440688E-2</v>
      </c>
    </row>
    <row r="2526" spans="30:32">
      <c r="AD2526" s="50">
        <v>427.9</v>
      </c>
      <c r="AE2526" s="51">
        <v>82.991</v>
      </c>
      <c r="AF2526" s="52">
        <f t="shared" si="283"/>
        <v>8.0969002350037247E-2</v>
      </c>
    </row>
    <row r="2527" spans="30:32">
      <c r="AD2527" s="50">
        <v>427.8</v>
      </c>
      <c r="AE2527" s="51">
        <v>82.695999999999998</v>
      </c>
      <c r="AF2527" s="52">
        <f t="shared" si="283"/>
        <v>8.251549673452134E-2</v>
      </c>
    </row>
    <row r="2528" spans="30:32">
      <c r="AD2528" s="50">
        <v>427.7</v>
      </c>
      <c r="AE2528" s="51">
        <v>82.47</v>
      </c>
      <c r="AF2528" s="52">
        <f t="shared" si="283"/>
        <v>8.3704005436869108E-2</v>
      </c>
    </row>
    <row r="2529" spans="30:32">
      <c r="AD2529" s="50">
        <v>427.6</v>
      </c>
      <c r="AE2529" s="51">
        <v>82.204999999999998</v>
      </c>
      <c r="AF2529" s="52">
        <f t="shared" si="283"/>
        <v>8.5101766324063424E-2</v>
      </c>
    </row>
    <row r="2530" spans="30:32">
      <c r="AD2530" s="50">
        <v>427.5</v>
      </c>
      <c r="AE2530" s="51">
        <v>81.911000000000001</v>
      </c>
      <c r="AF2530" s="52">
        <f t="shared" si="283"/>
        <v>8.6657772006201395E-2</v>
      </c>
    </row>
    <row r="2531" spans="30:32">
      <c r="AD2531" s="50">
        <v>427.4</v>
      </c>
      <c r="AE2531" s="51">
        <v>81.572000000000003</v>
      </c>
      <c r="AF2531" s="52">
        <f t="shared" si="283"/>
        <v>8.845888943593426E-2</v>
      </c>
    </row>
    <row r="2532" spans="30:32">
      <c r="AD2532" s="50">
        <v>427.3</v>
      </c>
      <c r="AE2532" s="51">
        <v>81.161000000000001</v>
      </c>
      <c r="AF2532" s="52">
        <f t="shared" si="283"/>
        <v>9.0652610581441959E-2</v>
      </c>
    </row>
    <row r="2533" spans="30:32">
      <c r="AD2533" s="50">
        <v>427.2</v>
      </c>
      <c r="AE2533" s="51">
        <v>80.769000000000005</v>
      </c>
      <c r="AF2533" s="52">
        <f t="shared" si="283"/>
        <v>9.2755294080048192E-2</v>
      </c>
    </row>
    <row r="2534" spans="30:32">
      <c r="AD2534" s="50">
        <v>427.1</v>
      </c>
      <c r="AE2534" s="51">
        <v>80.426000000000002</v>
      </c>
      <c r="AF2534" s="52">
        <f t="shared" si="283"/>
        <v>9.4603530466005906E-2</v>
      </c>
    </row>
    <row r="2535" spans="30:32">
      <c r="AD2535" s="50">
        <v>427</v>
      </c>
      <c r="AE2535" s="51">
        <v>80.072000000000003</v>
      </c>
      <c r="AF2535" s="52">
        <f t="shared" si="283"/>
        <v>9.6519323758146286E-2</v>
      </c>
    </row>
    <row r="2536" spans="30:32">
      <c r="AD2536" s="50">
        <v>426.9</v>
      </c>
      <c r="AE2536" s="51">
        <v>79.703000000000003</v>
      </c>
      <c r="AF2536" s="52">
        <f t="shared" si="283"/>
        <v>9.8525331565928964E-2</v>
      </c>
    </row>
    <row r="2537" spans="30:32">
      <c r="AD2537" s="50">
        <v>426.8</v>
      </c>
      <c r="AE2537" s="51">
        <v>79.317999999999998</v>
      </c>
      <c r="AF2537" s="52">
        <f t="shared" si="283"/>
        <v>0.10062824504558555</v>
      </c>
    </row>
    <row r="2538" spans="30:32">
      <c r="AD2538" s="50">
        <v>426.7</v>
      </c>
      <c r="AE2538" s="51">
        <v>78.932000000000002</v>
      </c>
      <c r="AF2538" s="52">
        <f t="shared" si="283"/>
        <v>0.10274689278617843</v>
      </c>
    </row>
    <row r="2539" spans="30:32">
      <c r="AD2539" s="50">
        <v>426.6</v>
      </c>
      <c r="AE2539" s="51">
        <v>78.495000000000005</v>
      </c>
      <c r="AF2539" s="52">
        <f t="shared" si="283"/>
        <v>0.10515800620465349</v>
      </c>
    </row>
    <row r="2540" spans="30:32">
      <c r="AD2540" s="50">
        <v>426.5</v>
      </c>
      <c r="AE2540" s="51">
        <v>78.126000000000005</v>
      </c>
      <c r="AF2540" s="52">
        <f t="shared" si="283"/>
        <v>0.10720441071407708</v>
      </c>
    </row>
    <row r="2541" spans="30:32">
      <c r="AD2541" s="50">
        <v>426.4</v>
      </c>
      <c r="AE2541" s="51">
        <v>77.757000000000005</v>
      </c>
      <c r="AF2541" s="52">
        <f t="shared" si="283"/>
        <v>0.10926050359334478</v>
      </c>
    </row>
    <row r="2542" spans="30:32">
      <c r="AD2542" s="50">
        <v>426.3</v>
      </c>
      <c r="AE2542" s="51">
        <v>77.423000000000002</v>
      </c>
      <c r="AF2542" s="52">
        <f t="shared" si="283"/>
        <v>0.11113000457217603</v>
      </c>
    </row>
    <row r="2543" spans="30:32">
      <c r="AD2543" s="50">
        <v>426.2</v>
      </c>
      <c r="AE2543" s="51">
        <v>77.078999999999994</v>
      </c>
      <c r="AF2543" s="52">
        <f t="shared" si="283"/>
        <v>0.11306392838735652</v>
      </c>
    </row>
    <row r="2544" spans="30:32">
      <c r="AD2544" s="50">
        <v>426.1</v>
      </c>
      <c r="AE2544" s="51">
        <v>76.724000000000004</v>
      </c>
      <c r="AF2544" s="52">
        <f t="shared" si="283"/>
        <v>0.11506876333683225</v>
      </c>
    </row>
    <row r="2545" spans="30:32">
      <c r="AD2545" s="50">
        <v>426</v>
      </c>
      <c r="AE2545" s="51">
        <v>76.378</v>
      </c>
      <c r="AF2545" s="52">
        <f t="shared" si="283"/>
        <v>0.11703171805403309</v>
      </c>
    </row>
    <row r="2546" spans="30:32">
      <c r="AD2546" s="50">
        <v>425.9</v>
      </c>
      <c r="AE2546" s="51">
        <v>76.057000000000002</v>
      </c>
      <c r="AF2546" s="52">
        <f t="shared" si="283"/>
        <v>0.11886080894206594</v>
      </c>
    </row>
    <row r="2547" spans="30:32">
      <c r="AD2547" s="50">
        <v>425.8</v>
      </c>
      <c r="AE2547" s="51">
        <v>75.787000000000006</v>
      </c>
      <c r="AF2547" s="52">
        <f t="shared" si="283"/>
        <v>0.12040528397825054</v>
      </c>
    </row>
    <row r="2548" spans="30:32">
      <c r="AD2548" s="50">
        <v>425.7</v>
      </c>
      <c r="AE2548" s="51">
        <v>75.570999999999998</v>
      </c>
      <c r="AF2548" s="52">
        <f t="shared" si="283"/>
        <v>0.12164483090372155</v>
      </c>
    </row>
    <row r="2549" spans="30:32">
      <c r="AD2549" s="50">
        <v>425.6</v>
      </c>
      <c r="AE2549" s="51">
        <v>75.346000000000004</v>
      </c>
      <c r="AF2549" s="52">
        <f t="shared" si="283"/>
        <v>0.12293979874468862</v>
      </c>
    </row>
    <row r="2550" spans="30:32">
      <c r="AD2550" s="50">
        <v>425.5</v>
      </c>
      <c r="AE2550" s="51">
        <v>75.147000000000006</v>
      </c>
      <c r="AF2550" s="52">
        <f t="shared" si="283"/>
        <v>0.12408835252819821</v>
      </c>
    </row>
    <row r="2551" spans="30:32">
      <c r="AD2551" s="50">
        <v>425.4</v>
      </c>
      <c r="AE2551" s="51">
        <v>74.935000000000002</v>
      </c>
      <c r="AF2551" s="52">
        <f t="shared" si="283"/>
        <v>0.12531528835528599</v>
      </c>
    </row>
    <row r="2552" spans="30:32">
      <c r="AD2552" s="50">
        <v>425.3</v>
      </c>
      <c r="AE2552" s="51">
        <v>74.704999999999998</v>
      </c>
      <c r="AF2552" s="52">
        <f t="shared" si="283"/>
        <v>0.12665032991499409</v>
      </c>
    </row>
    <row r="2553" spans="30:32">
      <c r="AD2553" s="50">
        <v>425.2</v>
      </c>
      <c r="AE2553" s="51">
        <v>74.578999999999994</v>
      </c>
      <c r="AF2553" s="52">
        <f t="shared" si="283"/>
        <v>0.12738344421678097</v>
      </c>
    </row>
    <row r="2554" spans="30:32">
      <c r="AD2554" s="50">
        <v>425.1</v>
      </c>
      <c r="AE2554" s="51">
        <v>74.462000000000003</v>
      </c>
      <c r="AF2554" s="52">
        <f t="shared" si="283"/>
        <v>0.12806530309884004</v>
      </c>
    </row>
    <row r="2555" spans="30:32">
      <c r="AD2555" s="50">
        <v>425</v>
      </c>
      <c r="AE2555" s="51">
        <v>74.433000000000007</v>
      </c>
      <c r="AF2555" s="52">
        <f t="shared" si="283"/>
        <v>0.12823447654501957</v>
      </c>
    </row>
    <row r="2556" spans="30:32">
      <c r="AD2556" s="50">
        <v>424.9</v>
      </c>
      <c r="AE2556" s="51">
        <v>74.367000000000004</v>
      </c>
      <c r="AF2556" s="52">
        <f t="shared" si="283"/>
        <v>0.12861973780423083</v>
      </c>
    </row>
    <row r="2557" spans="30:32">
      <c r="AD2557" s="50">
        <v>424.8</v>
      </c>
      <c r="AE2557" s="51">
        <v>74.343999999999994</v>
      </c>
      <c r="AF2557" s="52">
        <f t="shared" si="283"/>
        <v>0.12875407585808593</v>
      </c>
    </row>
    <row r="2558" spans="30:32">
      <c r="AD2558" s="50">
        <v>424.7</v>
      </c>
      <c r="AE2558" s="51">
        <v>74.314999999999998</v>
      </c>
      <c r="AF2558" s="52">
        <f t="shared" si="283"/>
        <v>0.12892351787148515</v>
      </c>
    </row>
    <row r="2559" spans="30:32">
      <c r="AD2559" s="50">
        <v>424.6</v>
      </c>
      <c r="AE2559" s="51">
        <v>74.366</v>
      </c>
      <c r="AF2559" s="52">
        <f t="shared" si="283"/>
        <v>0.12862557772518868</v>
      </c>
    </row>
    <row r="2560" spans="30:32">
      <c r="AD2560" s="50">
        <v>424.5</v>
      </c>
      <c r="AE2560" s="51">
        <v>74.536000000000001</v>
      </c>
      <c r="AF2560" s="52">
        <f t="shared" si="283"/>
        <v>0.12763391751912445</v>
      </c>
    </row>
    <row r="2561" spans="30:32">
      <c r="AD2561" s="50">
        <v>424.4</v>
      </c>
      <c r="AE2561" s="51">
        <v>74.703000000000003</v>
      </c>
      <c r="AF2561" s="52">
        <f t="shared" si="283"/>
        <v>0.12666195698936566</v>
      </c>
    </row>
    <row r="2562" spans="30:32">
      <c r="AD2562" s="50">
        <v>424.3</v>
      </c>
      <c r="AE2562" s="51">
        <v>74.95</v>
      </c>
      <c r="AF2562" s="52">
        <f t="shared" si="283"/>
        <v>0.12522836281570171</v>
      </c>
    </row>
    <row r="2563" spans="30:32">
      <c r="AD2563" s="50">
        <v>424.2</v>
      </c>
      <c r="AE2563" s="51">
        <v>75.195999999999998</v>
      </c>
      <c r="AF2563" s="52">
        <f t="shared" si="283"/>
        <v>0.12380526079307576</v>
      </c>
    </row>
    <row r="2564" spans="30:32">
      <c r="AD2564" s="50">
        <v>424.1</v>
      </c>
      <c r="AE2564" s="51">
        <v>75.430000000000007</v>
      </c>
      <c r="AF2564" s="52">
        <f t="shared" si="283"/>
        <v>0.12245589228405593</v>
      </c>
    </row>
    <row r="2565" spans="30:32">
      <c r="AD2565" s="50">
        <v>424</v>
      </c>
      <c r="AE2565" s="51">
        <v>75.653000000000006</v>
      </c>
      <c r="AF2565" s="52">
        <f t="shared" ref="AF2565:AF2628" si="284">-LOG(AE2565/100)</f>
        <v>0.12117384546481803</v>
      </c>
    </row>
    <row r="2566" spans="30:32">
      <c r="AD2566" s="50">
        <v>423.9</v>
      </c>
      <c r="AE2566" s="51">
        <v>75.960999999999999</v>
      </c>
      <c r="AF2566" s="52">
        <f t="shared" si="284"/>
        <v>0.11940932656241313</v>
      </c>
    </row>
    <row r="2567" spans="30:32">
      <c r="AD2567" s="50">
        <v>423.8</v>
      </c>
      <c r="AE2567" s="51">
        <v>76.361999999999995</v>
      </c>
      <c r="AF2567" s="52">
        <f t="shared" si="284"/>
        <v>0.11712270550638179</v>
      </c>
    </row>
    <row r="2568" spans="30:32">
      <c r="AD2568" s="50">
        <v>423.7</v>
      </c>
      <c r="AE2568" s="51">
        <v>76.727999999999994</v>
      </c>
      <c r="AF2568" s="52">
        <f t="shared" si="284"/>
        <v>0.11504612201670604</v>
      </c>
    </row>
    <row r="2569" spans="30:32">
      <c r="AD2569" s="50">
        <v>423.6</v>
      </c>
      <c r="AE2569" s="51">
        <v>77.099000000000004</v>
      </c>
      <c r="AF2569" s="52">
        <f t="shared" si="284"/>
        <v>0.11295125485823058</v>
      </c>
    </row>
    <row r="2570" spans="30:32">
      <c r="AD2570" s="50">
        <v>423.5</v>
      </c>
      <c r="AE2570" s="51">
        <v>77.382000000000005</v>
      </c>
      <c r="AF2570" s="52">
        <f t="shared" si="284"/>
        <v>0.11136004977968698</v>
      </c>
    </row>
    <row r="2571" spans="30:32">
      <c r="AD2571" s="50">
        <v>423.4</v>
      </c>
      <c r="AE2571" s="51">
        <v>77.698999999999998</v>
      </c>
      <c r="AF2571" s="52">
        <f t="shared" si="284"/>
        <v>0.10958457061062521</v>
      </c>
    </row>
    <row r="2572" spans="30:32">
      <c r="AD2572" s="50">
        <v>423.3</v>
      </c>
      <c r="AE2572" s="51">
        <v>78.045000000000002</v>
      </c>
      <c r="AF2572" s="52">
        <f t="shared" si="284"/>
        <v>0.10765491504828216</v>
      </c>
    </row>
    <row r="2573" spans="30:32">
      <c r="AD2573" s="50">
        <v>423.2</v>
      </c>
      <c r="AE2573" s="51">
        <v>78.326999999999998</v>
      </c>
      <c r="AF2573" s="52">
        <f t="shared" si="284"/>
        <v>0.10608850703834856</v>
      </c>
    </row>
    <row r="2574" spans="30:32">
      <c r="AD2574" s="50">
        <v>423.1</v>
      </c>
      <c r="AE2574" s="51">
        <v>78.564999999999998</v>
      </c>
      <c r="AF2574" s="52">
        <f t="shared" si="284"/>
        <v>0.10477088515860558</v>
      </c>
    </row>
    <row r="2575" spans="30:32">
      <c r="AD2575" s="50">
        <v>423</v>
      </c>
      <c r="AE2575" s="51">
        <v>78.739000000000004</v>
      </c>
      <c r="AF2575" s="52">
        <f t="shared" si="284"/>
        <v>0.10381010513176463</v>
      </c>
    </row>
    <row r="2576" spans="30:32">
      <c r="AD2576" s="50">
        <v>422.9</v>
      </c>
      <c r="AE2576" s="51">
        <v>78.864999999999995</v>
      </c>
      <c r="AF2576" s="52">
        <f t="shared" si="284"/>
        <v>0.1031156923455632</v>
      </c>
    </row>
    <row r="2577" spans="30:32">
      <c r="AD2577" s="50">
        <v>422.8</v>
      </c>
      <c r="AE2577" s="51">
        <v>78.915999999999997</v>
      </c>
      <c r="AF2577" s="52">
        <f t="shared" si="284"/>
        <v>0.10283493586222948</v>
      </c>
    </row>
    <row r="2578" spans="30:32">
      <c r="AD2578" s="50">
        <v>422.7</v>
      </c>
      <c r="AE2578" s="51">
        <v>78.878</v>
      </c>
      <c r="AF2578" s="52">
        <f t="shared" si="284"/>
        <v>0.1030441097298208</v>
      </c>
    </row>
    <row r="2579" spans="30:32">
      <c r="AD2579" s="50">
        <v>422.6</v>
      </c>
      <c r="AE2579" s="51">
        <v>78.793000000000006</v>
      </c>
      <c r="AF2579" s="52">
        <f t="shared" si="284"/>
        <v>0.10351236368315313</v>
      </c>
    </row>
    <row r="2580" spans="30:32">
      <c r="AD2580" s="50">
        <v>422.5</v>
      </c>
      <c r="AE2580" s="51">
        <v>78.754000000000005</v>
      </c>
      <c r="AF2580" s="52">
        <f t="shared" si="284"/>
        <v>0.10372737869632628</v>
      </c>
    </row>
    <row r="2581" spans="30:32">
      <c r="AD2581" s="50">
        <v>422.4</v>
      </c>
      <c r="AE2581" s="51">
        <v>78.587000000000003</v>
      </c>
      <c r="AF2581" s="52">
        <f t="shared" si="284"/>
        <v>0.1046492897775186</v>
      </c>
    </row>
    <row r="2582" spans="30:32">
      <c r="AD2582" s="50">
        <v>422.3</v>
      </c>
      <c r="AE2582" s="51">
        <v>78.382000000000005</v>
      </c>
      <c r="AF2582" s="52">
        <f t="shared" si="284"/>
        <v>0.10578365923145244</v>
      </c>
    </row>
    <row r="2583" spans="30:32">
      <c r="AD2583" s="50">
        <v>422.2</v>
      </c>
      <c r="AE2583" s="51">
        <v>78.072000000000003</v>
      </c>
      <c r="AF2583" s="52">
        <f t="shared" si="284"/>
        <v>0.10750469500654035</v>
      </c>
    </row>
    <row r="2584" spans="30:32">
      <c r="AD2584" s="50">
        <v>422.1</v>
      </c>
      <c r="AE2584" s="51">
        <v>77.64</v>
      </c>
      <c r="AF2584" s="52">
        <f t="shared" si="284"/>
        <v>0.1099144732836748</v>
      </c>
    </row>
    <row r="2585" spans="30:32">
      <c r="AD2585" s="50">
        <v>422</v>
      </c>
      <c r="AE2585" s="51">
        <v>77.150999999999996</v>
      </c>
      <c r="AF2585" s="52">
        <f t="shared" si="284"/>
        <v>0.11265844041525531</v>
      </c>
    </row>
    <row r="2586" spans="30:32">
      <c r="AD2586" s="50">
        <v>421.9</v>
      </c>
      <c r="AE2586" s="51">
        <v>76.638000000000005</v>
      </c>
      <c r="AF2586" s="52">
        <f t="shared" si="284"/>
        <v>0.1155558374406989</v>
      </c>
    </row>
    <row r="2587" spans="30:32">
      <c r="AD2587" s="50">
        <v>421.8</v>
      </c>
      <c r="AE2587" s="51">
        <v>76.078999999999994</v>
      </c>
      <c r="AF2587" s="52">
        <f t="shared" si="284"/>
        <v>0.11873520450040229</v>
      </c>
    </row>
    <row r="2588" spans="30:32">
      <c r="AD2588" s="50">
        <v>421.7</v>
      </c>
      <c r="AE2588" s="51">
        <v>75.477000000000004</v>
      </c>
      <c r="AF2588" s="52">
        <f t="shared" si="284"/>
        <v>0.12218537015705794</v>
      </c>
    </row>
    <row r="2589" spans="30:32">
      <c r="AD2589" s="50">
        <v>421.6</v>
      </c>
      <c r="AE2589" s="51">
        <v>74.822999999999993</v>
      </c>
      <c r="AF2589" s="52">
        <f t="shared" si="284"/>
        <v>0.12596488291506519</v>
      </c>
    </row>
    <row r="2590" spans="30:32">
      <c r="AD2590" s="50">
        <v>421.5</v>
      </c>
      <c r="AE2590" s="51">
        <v>74.099000000000004</v>
      </c>
      <c r="AF2590" s="52">
        <f t="shared" si="284"/>
        <v>0.1301876529844018</v>
      </c>
    </row>
    <row r="2591" spans="30:32">
      <c r="AD2591" s="50">
        <v>421.4</v>
      </c>
      <c r="AE2591" s="51">
        <v>73.375</v>
      </c>
      <c r="AF2591" s="52">
        <f t="shared" si="284"/>
        <v>0.13445188574432909</v>
      </c>
    </row>
    <row r="2592" spans="30:32">
      <c r="AD2592" s="50">
        <v>421.3</v>
      </c>
      <c r="AE2592" s="51">
        <v>72.605000000000004</v>
      </c>
      <c r="AF2592" s="52">
        <f t="shared" si="284"/>
        <v>0.13903347024153531</v>
      </c>
    </row>
    <row r="2593" spans="30:32">
      <c r="AD2593" s="50">
        <v>421.2</v>
      </c>
      <c r="AE2593" s="51">
        <v>71.835999999999999</v>
      </c>
      <c r="AF2593" s="52">
        <f t="shared" si="284"/>
        <v>0.14365785822120614</v>
      </c>
    </row>
    <row r="2594" spans="30:32">
      <c r="AD2594" s="50">
        <v>421.1</v>
      </c>
      <c r="AE2594" s="51">
        <v>70.974000000000004</v>
      </c>
      <c r="AF2594" s="52">
        <f t="shared" si="284"/>
        <v>0.14890071782347072</v>
      </c>
    </row>
    <row r="2595" spans="30:32">
      <c r="AD2595" s="50">
        <v>421</v>
      </c>
      <c r="AE2595" s="51">
        <v>70.144999999999996</v>
      </c>
      <c r="AF2595" s="52">
        <f t="shared" si="284"/>
        <v>0.15400328044175035</v>
      </c>
    </row>
    <row r="2596" spans="30:32">
      <c r="AD2596" s="50">
        <v>420.9</v>
      </c>
      <c r="AE2596" s="51">
        <v>69.19</v>
      </c>
      <c r="AF2596" s="52">
        <f t="shared" si="284"/>
        <v>0.15995666939650605</v>
      </c>
    </row>
    <row r="2597" spans="30:32">
      <c r="AD2597" s="50">
        <v>420.8</v>
      </c>
      <c r="AE2597" s="51">
        <v>68.23</v>
      </c>
      <c r="AF2597" s="52">
        <f t="shared" si="284"/>
        <v>0.1660246287200938</v>
      </c>
    </row>
    <row r="2598" spans="30:32">
      <c r="AD2598" s="50">
        <v>420.7</v>
      </c>
      <c r="AE2598" s="51">
        <v>67.248000000000005</v>
      </c>
      <c r="AF2598" s="52">
        <f t="shared" si="284"/>
        <v>0.17232062733863812</v>
      </c>
    </row>
    <row r="2599" spans="30:32">
      <c r="AD2599" s="50">
        <v>420.6</v>
      </c>
      <c r="AE2599" s="51">
        <v>66.287999999999997</v>
      </c>
      <c r="AF2599" s="52">
        <f t="shared" si="284"/>
        <v>0.17856508404578156</v>
      </c>
    </row>
    <row r="2600" spans="30:32">
      <c r="AD2600" s="50">
        <v>420.5</v>
      </c>
      <c r="AE2600" s="51">
        <v>65.335999999999999</v>
      </c>
      <c r="AF2600" s="52">
        <f t="shared" si="284"/>
        <v>0.18484745741955411</v>
      </c>
    </row>
    <row r="2601" spans="30:32">
      <c r="AD2601" s="50">
        <v>420.4</v>
      </c>
      <c r="AE2601" s="51">
        <v>64.361000000000004</v>
      </c>
      <c r="AF2601" s="52">
        <f t="shared" si="284"/>
        <v>0.19137721673105668</v>
      </c>
    </row>
    <row r="2602" spans="30:32">
      <c r="AD2602" s="50">
        <v>420.3</v>
      </c>
      <c r="AE2602" s="51">
        <v>63.442999999999998</v>
      </c>
      <c r="AF2602" s="52">
        <f t="shared" si="284"/>
        <v>0.1976162889212093</v>
      </c>
    </row>
    <row r="2603" spans="30:32">
      <c r="AD2603" s="50">
        <v>420.2</v>
      </c>
      <c r="AE2603" s="51">
        <v>62.41</v>
      </c>
      <c r="AF2603" s="52">
        <f t="shared" si="284"/>
        <v>0.20474581741911715</v>
      </c>
    </row>
    <row r="2604" spans="30:32">
      <c r="AD2604" s="50">
        <v>420.1</v>
      </c>
      <c r="AE2604" s="51">
        <v>61.53</v>
      </c>
      <c r="AF2604" s="52">
        <f t="shared" si="284"/>
        <v>0.2109130849119713</v>
      </c>
    </row>
    <row r="2605" spans="30:32">
      <c r="AD2605" s="50">
        <v>420</v>
      </c>
      <c r="AE2605" s="51">
        <v>60.612000000000002</v>
      </c>
      <c r="AF2605" s="52">
        <f t="shared" si="284"/>
        <v>0.21744138544002564</v>
      </c>
    </row>
    <row r="2606" spans="30:32">
      <c r="AD2606" s="50">
        <v>419.9</v>
      </c>
      <c r="AE2606" s="51">
        <v>59.707999999999998</v>
      </c>
      <c r="AF2606" s="52">
        <f t="shared" si="284"/>
        <v>0.22396747585407553</v>
      </c>
    </row>
    <row r="2607" spans="30:32">
      <c r="AD2607" s="50">
        <v>419.8</v>
      </c>
      <c r="AE2607" s="51">
        <v>58.795000000000002</v>
      </c>
      <c r="AF2607" s="52">
        <f t="shared" si="284"/>
        <v>0.23065960529697815</v>
      </c>
    </row>
    <row r="2608" spans="30:32">
      <c r="AD2608" s="50">
        <v>419.7</v>
      </c>
      <c r="AE2608" s="51">
        <v>58.008000000000003</v>
      </c>
      <c r="AF2608" s="52">
        <f t="shared" si="284"/>
        <v>0.23651210788074359</v>
      </c>
    </row>
    <row r="2609" spans="30:32">
      <c r="AD2609" s="50">
        <v>419.6</v>
      </c>
      <c r="AE2609" s="51">
        <v>57.243000000000002</v>
      </c>
      <c r="AF2609" s="52">
        <f t="shared" si="284"/>
        <v>0.24227761374342383</v>
      </c>
    </row>
    <row r="2610" spans="30:32">
      <c r="AD2610" s="50">
        <v>419.5</v>
      </c>
      <c r="AE2610" s="51">
        <v>56.5</v>
      </c>
      <c r="AF2610" s="52">
        <f t="shared" si="284"/>
        <v>0.2479515521805615</v>
      </c>
    </row>
    <row r="2611" spans="30:32">
      <c r="AD2611" s="50">
        <v>419.4</v>
      </c>
      <c r="AE2611" s="51">
        <v>55.85</v>
      </c>
      <c r="AF2611" s="52">
        <f t="shared" si="284"/>
        <v>0.25297682254837212</v>
      </c>
    </row>
    <row r="2612" spans="30:32">
      <c r="AD2612" s="50">
        <v>419.3</v>
      </c>
      <c r="AE2612" s="51">
        <v>55.295999999999999</v>
      </c>
      <c r="AF2612" s="52">
        <f t="shared" si="284"/>
        <v>0.25730628353721952</v>
      </c>
    </row>
    <row r="2613" spans="30:32">
      <c r="AD2613" s="50">
        <v>419.2</v>
      </c>
      <c r="AE2613" s="51">
        <v>54.860999999999997</v>
      </c>
      <c r="AF2613" s="52">
        <f t="shared" si="284"/>
        <v>0.26073628038945984</v>
      </c>
    </row>
    <row r="2614" spans="30:32">
      <c r="AD2614" s="50">
        <v>419.1</v>
      </c>
      <c r="AE2614" s="51">
        <v>54.476999999999997</v>
      </c>
      <c r="AF2614" s="52">
        <f t="shared" si="284"/>
        <v>0.26378681664812309</v>
      </c>
    </row>
    <row r="2615" spans="30:32">
      <c r="AD2615" s="50">
        <v>419</v>
      </c>
      <c r="AE2615" s="51">
        <v>54.162999999999997</v>
      </c>
      <c r="AF2615" s="52">
        <f t="shared" si="284"/>
        <v>0.26629728879553488</v>
      </c>
    </row>
    <row r="2616" spans="30:32">
      <c r="AD2616" s="50">
        <v>418.9</v>
      </c>
      <c r="AE2616" s="51">
        <v>53.908999999999999</v>
      </c>
      <c r="AF2616" s="52">
        <f t="shared" si="284"/>
        <v>0.26833872416301491</v>
      </c>
    </row>
    <row r="2617" spans="30:32">
      <c r="AD2617" s="50">
        <v>418.8</v>
      </c>
      <c r="AE2617" s="51">
        <v>53.725000000000001</v>
      </c>
      <c r="AF2617" s="52">
        <f t="shared" si="284"/>
        <v>0.26982357583651906</v>
      </c>
    </row>
    <row r="2618" spans="30:32">
      <c r="AD2618" s="50">
        <v>418.7</v>
      </c>
      <c r="AE2618" s="51">
        <v>53.67</v>
      </c>
      <c r="AF2618" s="52">
        <f t="shared" si="284"/>
        <v>0.27026840471296448</v>
      </c>
    </row>
    <row r="2619" spans="30:32">
      <c r="AD2619" s="50">
        <v>418.6</v>
      </c>
      <c r="AE2619" s="51">
        <v>53.713999999999999</v>
      </c>
      <c r="AF2619" s="52">
        <f t="shared" si="284"/>
        <v>0.26991250516977106</v>
      </c>
    </row>
    <row r="2620" spans="30:32">
      <c r="AD2620" s="50">
        <v>418.5</v>
      </c>
      <c r="AE2620" s="51">
        <v>53.854999999999997</v>
      </c>
      <c r="AF2620" s="52">
        <f t="shared" si="284"/>
        <v>0.26877396977352802</v>
      </c>
    </row>
    <row r="2621" spans="30:32">
      <c r="AD2621" s="50">
        <v>418.4</v>
      </c>
      <c r="AE2621" s="51">
        <v>54.040999999999997</v>
      </c>
      <c r="AF2621" s="52">
        <f t="shared" si="284"/>
        <v>0.2672766231869485</v>
      </c>
    </row>
    <row r="2622" spans="30:32">
      <c r="AD2622" s="50">
        <v>418.3</v>
      </c>
      <c r="AE2622" s="51">
        <v>54.369</v>
      </c>
      <c r="AF2622" s="52">
        <f t="shared" si="284"/>
        <v>0.2646486548312087</v>
      </c>
    </row>
    <row r="2623" spans="30:32">
      <c r="AD2623" s="50">
        <v>418.2</v>
      </c>
      <c r="AE2623" s="51">
        <v>54.820999999999998</v>
      </c>
      <c r="AF2623" s="52">
        <f t="shared" si="284"/>
        <v>0.26105304667829982</v>
      </c>
    </row>
    <row r="2624" spans="30:32">
      <c r="AD2624" s="50">
        <v>418.1</v>
      </c>
      <c r="AE2624" s="51">
        <v>55.34</v>
      </c>
      <c r="AF2624" s="52">
        <f t="shared" si="284"/>
        <v>0.25696084519506684</v>
      </c>
    </row>
    <row r="2625" spans="30:32">
      <c r="AD2625" s="50">
        <v>418</v>
      </c>
      <c r="AE2625" s="51">
        <v>55.981000000000002</v>
      </c>
      <c r="AF2625" s="52">
        <f t="shared" si="284"/>
        <v>0.25195934790981828</v>
      </c>
    </row>
    <row r="2626" spans="30:32">
      <c r="AD2626" s="50">
        <v>417.9</v>
      </c>
      <c r="AE2626" s="51">
        <v>56.670999999999999</v>
      </c>
      <c r="AF2626" s="52">
        <f t="shared" si="284"/>
        <v>0.24663912385664821</v>
      </c>
    </row>
    <row r="2627" spans="30:32">
      <c r="AD2627" s="50">
        <v>417.8</v>
      </c>
      <c r="AE2627" s="51">
        <v>57.534999999999997</v>
      </c>
      <c r="AF2627" s="52">
        <f t="shared" si="284"/>
        <v>0.24006788257014874</v>
      </c>
    </row>
    <row r="2628" spans="30:32">
      <c r="AD2628" s="50">
        <v>417.7</v>
      </c>
      <c r="AE2628" s="51">
        <v>58.43</v>
      </c>
      <c r="AF2628" s="52">
        <f t="shared" si="284"/>
        <v>0.23336411368973245</v>
      </c>
    </row>
    <row r="2629" spans="30:32">
      <c r="AD2629" s="50">
        <v>417.6</v>
      </c>
      <c r="AE2629" s="51">
        <v>59.335999999999999</v>
      </c>
      <c r="AF2629" s="52">
        <f t="shared" ref="AF2629:AF2692" si="285">-LOG(AE2629/100)</f>
        <v>0.22668173399626199</v>
      </c>
    </row>
    <row r="2630" spans="30:32">
      <c r="AD2630" s="50">
        <v>417.5</v>
      </c>
      <c r="AE2630" s="51">
        <v>60.271000000000001</v>
      </c>
      <c r="AF2630" s="52">
        <f t="shared" si="285"/>
        <v>0.21989160277667055</v>
      </c>
    </row>
    <row r="2631" spans="30:32">
      <c r="AD2631" s="50">
        <v>417.4</v>
      </c>
      <c r="AE2631" s="51">
        <v>61.283000000000001</v>
      </c>
      <c r="AF2631" s="52">
        <f t="shared" si="285"/>
        <v>0.21265998274302719</v>
      </c>
    </row>
    <row r="2632" spans="30:32">
      <c r="AD2632" s="50">
        <v>417.3</v>
      </c>
      <c r="AE2632" s="51">
        <v>62.283000000000001</v>
      </c>
      <c r="AF2632" s="52">
        <f t="shared" si="285"/>
        <v>0.20563047683501787</v>
      </c>
    </row>
    <row r="2633" spans="30:32">
      <c r="AD2633" s="50">
        <v>417.2</v>
      </c>
      <c r="AE2633" s="51">
        <v>63.328000000000003</v>
      </c>
      <c r="AF2633" s="52">
        <f t="shared" si="285"/>
        <v>0.19840422747369771</v>
      </c>
    </row>
    <row r="2634" spans="30:32">
      <c r="AD2634" s="50">
        <v>417.1</v>
      </c>
      <c r="AE2634" s="51">
        <v>64.308999999999997</v>
      </c>
      <c r="AF2634" s="52">
        <f t="shared" si="285"/>
        <v>0.19172824361049157</v>
      </c>
    </row>
    <row r="2635" spans="30:32">
      <c r="AD2635" s="50">
        <v>417</v>
      </c>
      <c r="AE2635" s="51">
        <v>65.287999999999997</v>
      </c>
      <c r="AF2635" s="52">
        <f t="shared" si="285"/>
        <v>0.1851666351521247</v>
      </c>
    </row>
    <row r="2636" spans="30:32">
      <c r="AD2636" s="50">
        <v>416.9</v>
      </c>
      <c r="AE2636" s="51">
        <v>66.284000000000006</v>
      </c>
      <c r="AF2636" s="52">
        <f t="shared" si="285"/>
        <v>0.17859129135845891</v>
      </c>
    </row>
    <row r="2637" spans="30:32">
      <c r="AD2637" s="50">
        <v>416.8</v>
      </c>
      <c r="AE2637" s="51">
        <v>67.183999999999997</v>
      </c>
      <c r="AF2637" s="52">
        <f t="shared" si="285"/>
        <v>0.17273414270613557</v>
      </c>
    </row>
    <row r="2638" spans="30:32">
      <c r="AD2638" s="50">
        <v>416.7</v>
      </c>
      <c r="AE2638" s="51">
        <v>68.040000000000006</v>
      </c>
      <c r="AF2638" s="52">
        <f t="shared" si="285"/>
        <v>0.16723569505946853</v>
      </c>
    </row>
    <row r="2639" spans="30:32">
      <c r="AD2639" s="50">
        <v>416.6</v>
      </c>
      <c r="AE2639" s="51">
        <v>68.813999999999993</v>
      </c>
      <c r="AF2639" s="52">
        <f t="shared" si="285"/>
        <v>0.16232319687766583</v>
      </c>
    </row>
    <row r="2640" spans="30:32">
      <c r="AD2640" s="50">
        <v>416.5</v>
      </c>
      <c r="AE2640" s="51">
        <v>69.563999999999993</v>
      </c>
      <c r="AF2640" s="52">
        <f t="shared" si="285"/>
        <v>0.15761545358160356</v>
      </c>
    </row>
    <row r="2641" spans="30:32">
      <c r="AD2641" s="50">
        <v>416.4</v>
      </c>
      <c r="AE2641" s="51">
        <v>70.284999999999997</v>
      </c>
      <c r="AF2641" s="52">
        <f t="shared" si="285"/>
        <v>0.15313735083113128</v>
      </c>
    </row>
    <row r="2642" spans="30:32">
      <c r="AD2642" s="50">
        <v>416.3</v>
      </c>
      <c r="AE2642" s="51">
        <v>70.852000000000004</v>
      </c>
      <c r="AF2642" s="52">
        <f t="shared" si="285"/>
        <v>0.14964788604172205</v>
      </c>
    </row>
    <row r="2643" spans="30:32">
      <c r="AD2643" s="50">
        <v>416.2</v>
      </c>
      <c r="AE2643" s="51">
        <v>71.335999999999999</v>
      </c>
      <c r="AF2643" s="52">
        <f t="shared" si="285"/>
        <v>0.14669124636619305</v>
      </c>
    </row>
    <row r="2644" spans="30:32">
      <c r="AD2644" s="50">
        <v>416.1</v>
      </c>
      <c r="AE2644" s="51">
        <v>71.834999999999994</v>
      </c>
      <c r="AF2644" s="52">
        <f t="shared" si="285"/>
        <v>0.1436639039017111</v>
      </c>
    </row>
    <row r="2645" spans="30:32">
      <c r="AD2645" s="50">
        <v>416</v>
      </c>
      <c r="AE2645" s="51">
        <v>72.186999999999998</v>
      </c>
      <c r="AF2645" s="52">
        <f t="shared" si="285"/>
        <v>0.14154100653848692</v>
      </c>
    </row>
    <row r="2646" spans="30:32">
      <c r="AD2646" s="50">
        <v>415.9</v>
      </c>
      <c r="AE2646" s="51">
        <v>72.537999999999997</v>
      </c>
      <c r="AF2646" s="52">
        <f t="shared" si="285"/>
        <v>0.13943442285177915</v>
      </c>
    </row>
    <row r="2647" spans="30:32">
      <c r="AD2647" s="50">
        <v>415.8</v>
      </c>
      <c r="AE2647" s="51">
        <v>72.828999999999994</v>
      </c>
      <c r="AF2647" s="52">
        <f t="shared" si="285"/>
        <v>0.1376956532128791</v>
      </c>
    </row>
    <row r="2648" spans="30:32">
      <c r="AD2648" s="50">
        <v>415.7</v>
      </c>
      <c r="AE2648" s="51">
        <v>72.983999999999995</v>
      </c>
      <c r="AF2648" s="52">
        <f t="shared" si="285"/>
        <v>0.13677233814426185</v>
      </c>
    </row>
    <row r="2649" spans="30:32">
      <c r="AD2649" s="50">
        <v>415.6</v>
      </c>
      <c r="AE2649" s="51">
        <v>73.177999999999997</v>
      </c>
      <c r="AF2649" s="52">
        <f t="shared" si="285"/>
        <v>0.13561946422401142</v>
      </c>
    </row>
    <row r="2650" spans="30:32">
      <c r="AD2650" s="50">
        <v>415.5</v>
      </c>
      <c r="AE2650" s="51">
        <v>73.331000000000003</v>
      </c>
      <c r="AF2650" s="52">
        <f t="shared" si="285"/>
        <v>0.13471239257808784</v>
      </c>
    </row>
    <row r="2651" spans="30:32">
      <c r="AD2651" s="50">
        <v>415.4</v>
      </c>
      <c r="AE2651" s="51">
        <v>73.400999999999996</v>
      </c>
      <c r="AF2651" s="52">
        <f t="shared" si="285"/>
        <v>0.13429802330567989</v>
      </c>
    </row>
    <row r="2652" spans="30:32">
      <c r="AD2652" s="50">
        <v>415.3</v>
      </c>
      <c r="AE2652" s="51">
        <v>73.471000000000004</v>
      </c>
      <c r="AF2652" s="52">
        <f t="shared" si="285"/>
        <v>0.1338840490146633</v>
      </c>
    </row>
    <row r="2653" spans="30:32">
      <c r="AD2653" s="50">
        <v>415.2</v>
      </c>
      <c r="AE2653" s="51">
        <v>73.537999999999997</v>
      </c>
      <c r="AF2653" s="52">
        <f t="shared" si="285"/>
        <v>0.13348818573687538</v>
      </c>
    </row>
    <row r="2654" spans="30:32">
      <c r="AD2654" s="50">
        <v>415.1</v>
      </c>
      <c r="AE2654" s="51">
        <v>73.614000000000004</v>
      </c>
      <c r="AF2654" s="52">
        <f t="shared" si="285"/>
        <v>0.13303958315506331</v>
      </c>
    </row>
    <row r="2655" spans="30:32">
      <c r="AD2655" s="50">
        <v>415</v>
      </c>
      <c r="AE2655" s="51">
        <v>73.638999999999996</v>
      </c>
      <c r="AF2655" s="52">
        <f t="shared" si="285"/>
        <v>0.13289211774312745</v>
      </c>
    </row>
    <row r="2656" spans="30:32">
      <c r="AD2656" s="50">
        <v>414.9</v>
      </c>
      <c r="AE2656" s="51">
        <v>73.721000000000004</v>
      </c>
      <c r="AF2656" s="52">
        <f t="shared" si="285"/>
        <v>0.13240878235778794</v>
      </c>
    </row>
    <row r="2657" spans="30:32">
      <c r="AD2657" s="50">
        <v>414.8</v>
      </c>
      <c r="AE2657" s="51">
        <v>73.754999999999995</v>
      </c>
      <c r="AF2657" s="52">
        <f t="shared" si="285"/>
        <v>0.13220853265415727</v>
      </c>
    </row>
    <row r="2658" spans="30:32">
      <c r="AD2658" s="50">
        <v>414.7</v>
      </c>
      <c r="AE2658" s="51">
        <v>73.825000000000003</v>
      </c>
      <c r="AF2658" s="52">
        <f t="shared" si="285"/>
        <v>0.13179654436288391</v>
      </c>
    </row>
    <row r="2659" spans="30:32">
      <c r="AD2659" s="50">
        <v>414.6</v>
      </c>
      <c r="AE2659" s="51">
        <v>73.875</v>
      </c>
      <c r="AF2659" s="52">
        <f t="shared" si="285"/>
        <v>0.1315025061106882</v>
      </c>
    </row>
    <row r="2660" spans="30:32">
      <c r="AD2660" s="50">
        <v>414.5</v>
      </c>
      <c r="AE2660" s="51">
        <v>73.986000000000004</v>
      </c>
      <c r="AF2660" s="52">
        <f t="shared" si="285"/>
        <v>0.13085045186315813</v>
      </c>
    </row>
    <row r="2661" spans="30:32">
      <c r="AD2661" s="50">
        <v>414.4</v>
      </c>
      <c r="AE2661" s="51">
        <v>74.078000000000003</v>
      </c>
      <c r="AF2661" s="52">
        <f t="shared" si="285"/>
        <v>0.13031075149741031</v>
      </c>
    </row>
    <row r="2662" spans="30:32">
      <c r="AD2662" s="50">
        <v>414.3</v>
      </c>
      <c r="AE2662" s="51">
        <v>74.126999999999995</v>
      </c>
      <c r="AF2662" s="52">
        <f t="shared" si="285"/>
        <v>0.13002357589080243</v>
      </c>
    </row>
    <row r="2663" spans="30:32">
      <c r="AD2663" s="50">
        <v>414.2</v>
      </c>
      <c r="AE2663" s="51">
        <v>74.353999999999999</v>
      </c>
      <c r="AF2663" s="52">
        <f t="shared" si="285"/>
        <v>0.1286956629026248</v>
      </c>
    </row>
    <row r="2664" spans="30:32">
      <c r="AD2664" s="50">
        <v>414.1</v>
      </c>
      <c r="AE2664" s="51">
        <v>74.512</v>
      </c>
      <c r="AF2664" s="52">
        <f t="shared" si="285"/>
        <v>0.12777377941134391</v>
      </c>
    </row>
    <row r="2665" spans="30:32">
      <c r="AD2665" s="50">
        <v>414</v>
      </c>
      <c r="AE2665" s="51">
        <v>74.704999999999998</v>
      </c>
      <c r="AF2665" s="52">
        <f t="shared" si="285"/>
        <v>0.12665032991499409</v>
      </c>
    </row>
    <row r="2666" spans="30:32">
      <c r="AD2666" s="50">
        <v>413.9</v>
      </c>
      <c r="AE2666" s="51">
        <v>74.915000000000006</v>
      </c>
      <c r="AF2666" s="52">
        <f t="shared" si="285"/>
        <v>0.12543121614560485</v>
      </c>
    </row>
    <row r="2667" spans="30:32">
      <c r="AD2667" s="50">
        <v>413.8</v>
      </c>
      <c r="AE2667" s="51">
        <v>75.194999999999993</v>
      </c>
      <c r="AF2667" s="52">
        <f t="shared" si="285"/>
        <v>0.12381103633126504</v>
      </c>
    </row>
    <row r="2668" spans="30:32">
      <c r="AD2668" s="50">
        <v>413.7</v>
      </c>
      <c r="AE2668" s="51">
        <v>75.507999999999996</v>
      </c>
      <c r="AF2668" s="52">
        <f t="shared" si="285"/>
        <v>0.12200703285032972</v>
      </c>
    </row>
    <row r="2669" spans="30:32">
      <c r="AD2669" s="50">
        <v>413.6</v>
      </c>
      <c r="AE2669" s="51">
        <v>75.858000000000004</v>
      </c>
      <c r="AF2669" s="52">
        <f t="shared" si="285"/>
        <v>0.11999861167823091</v>
      </c>
    </row>
    <row r="2670" spans="30:32">
      <c r="AD2670" s="50">
        <v>413.5</v>
      </c>
      <c r="AE2670" s="51">
        <v>76.256</v>
      </c>
      <c r="AF2670" s="52">
        <f t="shared" si="285"/>
        <v>0.1177259793336379</v>
      </c>
    </row>
    <row r="2671" spans="30:32">
      <c r="AD2671" s="50">
        <v>413.4</v>
      </c>
      <c r="AE2671" s="51">
        <v>76.614000000000004</v>
      </c>
      <c r="AF2671" s="52">
        <f t="shared" si="285"/>
        <v>0.11569186264951689</v>
      </c>
    </row>
    <row r="2672" spans="30:32">
      <c r="AD2672" s="50">
        <v>413.3</v>
      </c>
      <c r="AE2672" s="51">
        <v>76.977000000000004</v>
      </c>
      <c r="AF2672" s="52">
        <f t="shared" si="285"/>
        <v>0.11363901853155266</v>
      </c>
    </row>
    <row r="2673" spans="30:32">
      <c r="AD2673" s="50">
        <v>413.2</v>
      </c>
      <c r="AE2673" s="51">
        <v>77.423000000000002</v>
      </c>
      <c r="AF2673" s="52">
        <f t="shared" si="285"/>
        <v>0.11113000457217603</v>
      </c>
    </row>
    <row r="2674" spans="30:32">
      <c r="AD2674" s="50">
        <v>413.1</v>
      </c>
      <c r="AE2674" s="51">
        <v>77.835999999999999</v>
      </c>
      <c r="AF2674" s="52">
        <f t="shared" si="285"/>
        <v>0.10881949060408948</v>
      </c>
    </row>
    <row r="2675" spans="30:32">
      <c r="AD2675" s="50">
        <v>413</v>
      </c>
      <c r="AE2675" s="51">
        <v>78.296999999999997</v>
      </c>
      <c r="AF2675" s="52">
        <f t="shared" si="285"/>
        <v>0.1062548778961537</v>
      </c>
    </row>
    <row r="2676" spans="30:32">
      <c r="AD2676" s="50">
        <v>412.9</v>
      </c>
      <c r="AE2676" s="51">
        <v>78.69</v>
      </c>
      <c r="AF2676" s="52">
        <f t="shared" si="285"/>
        <v>0.10408045468998404</v>
      </c>
    </row>
    <row r="2677" spans="30:32">
      <c r="AD2677" s="50">
        <v>412.8</v>
      </c>
      <c r="AE2677" s="51">
        <v>79.2</v>
      </c>
      <c r="AF2677" s="52">
        <f t="shared" si="285"/>
        <v>0.10127481841050648</v>
      </c>
    </row>
    <row r="2678" spans="30:32">
      <c r="AD2678" s="50">
        <v>412.7</v>
      </c>
      <c r="AE2678" s="51">
        <v>79.673000000000002</v>
      </c>
      <c r="AF2678" s="52">
        <f t="shared" si="285"/>
        <v>9.868882964105917E-2</v>
      </c>
    </row>
    <row r="2679" spans="30:32">
      <c r="AD2679" s="50">
        <v>412.6</v>
      </c>
      <c r="AE2679" s="51">
        <v>80.045000000000002</v>
      </c>
      <c r="AF2679" s="52">
        <f t="shared" si="285"/>
        <v>9.6665791042975888E-2</v>
      </c>
    </row>
    <row r="2680" spans="30:32">
      <c r="AD2680" s="50">
        <v>412.5</v>
      </c>
      <c r="AE2680" s="51">
        <v>80.506</v>
      </c>
      <c r="AF2680" s="52">
        <f t="shared" si="285"/>
        <v>9.4171751063349879E-2</v>
      </c>
    </row>
    <row r="2681" spans="30:32">
      <c r="AD2681" s="50">
        <v>412.4</v>
      </c>
      <c r="AE2681" s="51">
        <v>80.903999999999996</v>
      </c>
      <c r="AF2681" s="52">
        <f t="shared" si="285"/>
        <v>9.2030005767422068E-2</v>
      </c>
    </row>
    <row r="2682" spans="30:32">
      <c r="AD2682" s="50">
        <v>412.3</v>
      </c>
      <c r="AE2682" s="51">
        <v>81.370999999999995</v>
      </c>
      <c r="AF2682" s="52">
        <f t="shared" si="285"/>
        <v>8.9530346757080451E-2</v>
      </c>
    </row>
    <row r="2683" spans="30:32">
      <c r="AD2683" s="50">
        <v>412.2</v>
      </c>
      <c r="AE2683" s="51">
        <v>81.861000000000004</v>
      </c>
      <c r="AF2683" s="52">
        <f t="shared" si="285"/>
        <v>8.6922954391100329E-2</v>
      </c>
    </row>
    <row r="2684" spans="30:32">
      <c r="AD2684" s="50">
        <v>412.1</v>
      </c>
      <c r="AE2684" s="51">
        <v>82.177999999999997</v>
      </c>
      <c r="AF2684" s="52">
        <f t="shared" si="285"/>
        <v>8.5244432550094534E-2</v>
      </c>
    </row>
    <row r="2685" spans="30:32">
      <c r="AD2685" s="50">
        <v>412</v>
      </c>
      <c r="AE2685" s="51">
        <v>82.474999999999994</v>
      </c>
      <c r="AF2685" s="52">
        <f t="shared" si="285"/>
        <v>8.3677675782618519E-2</v>
      </c>
    </row>
    <row r="2686" spans="30:32">
      <c r="AD2686" s="50">
        <v>411.9</v>
      </c>
      <c r="AE2686" s="51">
        <v>82.831999999999994</v>
      </c>
      <c r="AF2686" s="52">
        <f t="shared" si="285"/>
        <v>8.1801852362219291E-2</v>
      </c>
    </row>
    <row r="2687" spans="30:32">
      <c r="AD2687" s="50">
        <v>411.8</v>
      </c>
      <c r="AE2687" s="51">
        <v>83.162000000000006</v>
      </c>
      <c r="AF2687" s="52">
        <f t="shared" si="285"/>
        <v>8.0075074673430585E-2</v>
      </c>
    </row>
    <row r="2688" spans="30:32">
      <c r="AD2688" s="50">
        <v>411.7</v>
      </c>
      <c r="AE2688" s="51">
        <v>83.546000000000006</v>
      </c>
      <c r="AF2688" s="52">
        <f t="shared" si="285"/>
        <v>7.8074338344055902E-2</v>
      </c>
    </row>
    <row r="2689" spans="30:32">
      <c r="AD2689" s="50">
        <v>411.6</v>
      </c>
      <c r="AE2689" s="51">
        <v>83.816999999999993</v>
      </c>
      <c r="AF2689" s="52">
        <f t="shared" si="285"/>
        <v>7.6667887605753632E-2</v>
      </c>
    </row>
    <row r="2690" spans="30:32">
      <c r="AD2690" s="50">
        <v>411.5</v>
      </c>
      <c r="AE2690" s="51">
        <v>84.117999999999995</v>
      </c>
      <c r="AF2690" s="52">
        <f t="shared" si="285"/>
        <v>7.5111061702425583E-2</v>
      </c>
    </row>
    <row r="2691" spans="30:32">
      <c r="AD2691" s="50">
        <v>411.4</v>
      </c>
      <c r="AE2691" s="51">
        <v>84.391999999999996</v>
      </c>
      <c r="AF2691" s="52">
        <f t="shared" si="285"/>
        <v>7.3698720679167773E-2</v>
      </c>
    </row>
    <row r="2692" spans="30:32">
      <c r="AD2692" s="50">
        <v>411.3</v>
      </c>
      <c r="AE2692" s="51">
        <v>84.608000000000004</v>
      </c>
      <c r="AF2692" s="52">
        <f t="shared" si="285"/>
        <v>7.258857086649137E-2</v>
      </c>
    </row>
    <row r="2693" spans="30:32">
      <c r="AD2693" s="50">
        <v>411.2</v>
      </c>
      <c r="AE2693" s="51">
        <v>84.85</v>
      </c>
      <c r="AF2693" s="52">
        <f t="shared" ref="AF2693:AF2756" si="286">-LOG(AE2693/100)</f>
        <v>7.134815334630544E-2</v>
      </c>
    </row>
    <row r="2694" spans="30:32">
      <c r="AD2694" s="50">
        <v>411.1</v>
      </c>
      <c r="AE2694" s="51">
        <v>85.067999999999998</v>
      </c>
      <c r="AF2694" s="52">
        <f t="shared" si="286"/>
        <v>7.023377760034373E-2</v>
      </c>
    </row>
    <row r="2695" spans="30:32">
      <c r="AD2695" s="50">
        <v>411</v>
      </c>
      <c r="AE2695" s="51">
        <v>85.251999999999995</v>
      </c>
      <c r="AF2695" s="52">
        <f t="shared" si="286"/>
        <v>6.9295423728130523E-2</v>
      </c>
    </row>
    <row r="2696" spans="30:32">
      <c r="AD2696" s="50">
        <v>410.9</v>
      </c>
      <c r="AE2696" s="51">
        <v>85.495999999999995</v>
      </c>
      <c r="AF2696" s="52">
        <f t="shared" si="286"/>
        <v>6.8054203617612441E-2</v>
      </c>
    </row>
    <row r="2697" spans="30:32">
      <c r="AD2697" s="50">
        <v>410.8</v>
      </c>
      <c r="AE2697" s="51">
        <v>85.688999999999993</v>
      </c>
      <c r="AF2697" s="52">
        <f t="shared" si="286"/>
        <v>6.7074925403730612E-2</v>
      </c>
    </row>
    <row r="2698" spans="30:32">
      <c r="AD2698" s="50">
        <v>410.7</v>
      </c>
      <c r="AE2698" s="51">
        <v>85.831999999999994</v>
      </c>
      <c r="AF2698" s="52">
        <f t="shared" si="286"/>
        <v>6.635076771690078E-2</v>
      </c>
    </row>
    <row r="2699" spans="30:32">
      <c r="AD2699" s="50">
        <v>410.6</v>
      </c>
      <c r="AE2699" s="51">
        <v>85.975999999999999</v>
      </c>
      <c r="AF2699" s="52">
        <f t="shared" si="286"/>
        <v>6.5622764131058317E-2</v>
      </c>
    </row>
    <row r="2700" spans="30:32">
      <c r="AD2700" s="50">
        <v>410.5</v>
      </c>
      <c r="AE2700" s="51">
        <v>86.082999999999998</v>
      </c>
      <c r="AF2700" s="52">
        <f t="shared" si="286"/>
        <v>6.5082606213668334E-2</v>
      </c>
    </row>
    <row r="2701" spans="30:32">
      <c r="AD2701" s="50">
        <v>410.4</v>
      </c>
      <c r="AE2701" s="51">
        <v>86.281000000000006</v>
      </c>
      <c r="AF2701" s="52">
        <f t="shared" si="286"/>
        <v>6.4084830051120381E-2</v>
      </c>
    </row>
    <row r="2702" spans="30:32">
      <c r="AD2702" s="50">
        <v>410.3</v>
      </c>
      <c r="AE2702" s="51">
        <v>86.409000000000006</v>
      </c>
      <c r="AF2702" s="52">
        <f t="shared" si="286"/>
        <v>6.3441020868609865E-2</v>
      </c>
    </row>
    <row r="2703" spans="30:32">
      <c r="AD2703" s="50">
        <v>410.2</v>
      </c>
      <c r="AE2703" s="51">
        <v>86.616</v>
      </c>
      <c r="AF2703" s="52">
        <f t="shared" si="286"/>
        <v>6.2401876228886773E-2</v>
      </c>
    </row>
    <row r="2704" spans="30:32">
      <c r="AD2704" s="50">
        <v>410.1</v>
      </c>
      <c r="AE2704" s="51">
        <v>86.703000000000003</v>
      </c>
      <c r="AF2704" s="52">
        <f t="shared" si="286"/>
        <v>6.1965875293051559E-2</v>
      </c>
    </row>
    <row r="2705" spans="30:32">
      <c r="AD2705" s="50">
        <v>410</v>
      </c>
      <c r="AE2705" s="51">
        <v>86.724999999999994</v>
      </c>
      <c r="AF2705" s="52">
        <f t="shared" si="286"/>
        <v>6.1855691485902586E-2</v>
      </c>
    </row>
    <row r="2706" spans="30:32">
      <c r="AD2706" s="50">
        <v>409.9</v>
      </c>
      <c r="AE2706" s="51">
        <v>86.813000000000002</v>
      </c>
      <c r="AF2706" s="52">
        <f t="shared" si="286"/>
        <v>6.1415235589403545E-2</v>
      </c>
    </row>
    <row r="2707" spans="30:32">
      <c r="AD2707" s="50">
        <v>409.8</v>
      </c>
      <c r="AE2707" s="51">
        <v>86.885999999999996</v>
      </c>
      <c r="AF2707" s="52">
        <f t="shared" si="286"/>
        <v>6.105019607800196E-2</v>
      </c>
    </row>
    <row r="2708" spans="30:32">
      <c r="AD2708" s="50">
        <v>409.7</v>
      </c>
      <c r="AE2708" s="51">
        <v>87.015000000000001</v>
      </c>
      <c r="AF2708" s="52">
        <f t="shared" si="286"/>
        <v>6.0405875476721729E-2</v>
      </c>
    </row>
    <row r="2709" spans="30:32">
      <c r="AD2709" s="50">
        <v>409.6</v>
      </c>
      <c r="AE2709" s="51">
        <v>87.117999999999995</v>
      </c>
      <c r="AF2709" s="52">
        <f t="shared" si="286"/>
        <v>5.989210339615187E-2</v>
      </c>
    </row>
    <row r="2710" spans="30:32">
      <c r="AD2710" s="50">
        <v>409.5</v>
      </c>
      <c r="AE2710" s="51">
        <v>87.233000000000004</v>
      </c>
      <c r="AF2710" s="52">
        <f t="shared" si="286"/>
        <v>5.931919159568385E-2</v>
      </c>
    </row>
    <row r="2711" spans="30:32">
      <c r="AD2711" s="50">
        <v>409.4</v>
      </c>
      <c r="AE2711" s="51">
        <v>87.242999999999995</v>
      </c>
      <c r="AF2711" s="52">
        <f t="shared" si="286"/>
        <v>5.9269408876871148E-2</v>
      </c>
    </row>
    <row r="2712" spans="30:32">
      <c r="AD2712" s="50">
        <v>409.3</v>
      </c>
      <c r="AE2712" s="51">
        <v>87.259</v>
      </c>
      <c r="AF2712" s="52">
        <f t="shared" si="286"/>
        <v>5.918976839447064E-2</v>
      </c>
    </row>
    <row r="2713" spans="30:32">
      <c r="AD2713" s="50">
        <v>409.2</v>
      </c>
      <c r="AE2713" s="51">
        <v>87.394999999999996</v>
      </c>
      <c r="AF2713" s="52">
        <f t="shared" si="286"/>
        <v>5.8513413298376601E-2</v>
      </c>
    </row>
    <row r="2714" spans="30:32">
      <c r="AD2714" s="50">
        <v>409.1</v>
      </c>
      <c r="AE2714" s="51">
        <v>87.447999999999993</v>
      </c>
      <c r="AF2714" s="52">
        <f t="shared" si="286"/>
        <v>5.8250118705560454E-2</v>
      </c>
    </row>
    <row r="2715" spans="30:32">
      <c r="AD2715" s="50">
        <v>409</v>
      </c>
      <c r="AE2715" s="51">
        <v>87.494</v>
      </c>
      <c r="AF2715" s="52">
        <f t="shared" si="286"/>
        <v>5.8021728191813393E-2</v>
      </c>
    </row>
    <row r="2716" spans="30:32">
      <c r="AD2716" s="50">
        <v>408.9</v>
      </c>
      <c r="AE2716" s="51">
        <v>87.572999999999993</v>
      </c>
      <c r="AF2716" s="52">
        <f t="shared" si="286"/>
        <v>5.7629772353201096E-2</v>
      </c>
    </row>
    <row r="2717" spans="30:32">
      <c r="AD2717" s="50">
        <v>408.8</v>
      </c>
      <c r="AE2717" s="51">
        <v>87.616</v>
      </c>
      <c r="AF2717" s="52">
        <f t="shared" si="286"/>
        <v>5.7416577882122809E-2</v>
      </c>
    </row>
    <row r="2718" spans="30:32">
      <c r="AD2718" s="50">
        <v>408.7</v>
      </c>
      <c r="AE2718" s="51">
        <v>87.617000000000004</v>
      </c>
      <c r="AF2718" s="52">
        <f t="shared" si="286"/>
        <v>5.7411621116195091E-2</v>
      </c>
    </row>
    <row r="2719" spans="30:32">
      <c r="AD2719" s="50">
        <v>408.6</v>
      </c>
      <c r="AE2719" s="51">
        <v>87.679000000000002</v>
      </c>
      <c r="AF2719" s="52">
        <f t="shared" si="286"/>
        <v>5.7104412064068598E-2</v>
      </c>
    </row>
    <row r="2720" spans="30:32">
      <c r="AD2720" s="50">
        <v>408.5</v>
      </c>
      <c r="AE2720" s="51">
        <v>87.725999999999999</v>
      </c>
      <c r="AF2720" s="52">
        <f t="shared" si="286"/>
        <v>5.6871672505470372E-2</v>
      </c>
    </row>
    <row r="2721" spans="30:32">
      <c r="AD2721" s="50">
        <v>408.4</v>
      </c>
      <c r="AE2721" s="51">
        <v>87.772000000000006</v>
      </c>
      <c r="AF2721" s="52">
        <f t="shared" si="286"/>
        <v>5.6644005561971855E-2</v>
      </c>
    </row>
    <row r="2722" spans="30:32">
      <c r="AD2722" s="50">
        <v>408.3</v>
      </c>
      <c r="AE2722" s="51">
        <v>87.822000000000003</v>
      </c>
      <c r="AF2722" s="52">
        <f t="shared" si="286"/>
        <v>5.6396676784427675E-2</v>
      </c>
    </row>
    <row r="2723" spans="30:32">
      <c r="AD2723" s="50">
        <v>408.2</v>
      </c>
      <c r="AE2723" s="51">
        <v>87.832999999999998</v>
      </c>
      <c r="AF2723" s="52">
        <f t="shared" si="286"/>
        <v>5.6342283350626438E-2</v>
      </c>
    </row>
    <row r="2724" spans="30:32">
      <c r="AD2724" s="50">
        <v>408.1</v>
      </c>
      <c r="AE2724" s="51">
        <v>87.935000000000002</v>
      </c>
      <c r="AF2724" s="52">
        <f t="shared" si="286"/>
        <v>5.5838232077052831E-2</v>
      </c>
    </row>
    <row r="2725" spans="30:32">
      <c r="AD2725" s="50">
        <v>408</v>
      </c>
      <c r="AE2725" s="51">
        <v>87.882000000000005</v>
      </c>
      <c r="AF2725" s="52">
        <f t="shared" si="286"/>
        <v>5.6100068056942058E-2</v>
      </c>
    </row>
    <row r="2726" spans="30:32">
      <c r="AD2726" s="50">
        <v>407.9</v>
      </c>
      <c r="AE2726" s="51">
        <v>87.867999999999995</v>
      </c>
      <c r="AF2726" s="52">
        <f t="shared" si="286"/>
        <v>5.6169258643110044E-2</v>
      </c>
    </row>
    <row r="2727" spans="30:32">
      <c r="AD2727" s="50">
        <v>407.8</v>
      </c>
      <c r="AE2727" s="51">
        <v>87.924000000000007</v>
      </c>
      <c r="AF2727" s="52">
        <f t="shared" si="286"/>
        <v>5.589256241336963E-2</v>
      </c>
    </row>
    <row r="2728" spans="30:32">
      <c r="AD2728" s="50">
        <v>407.7</v>
      </c>
      <c r="AE2728" s="51">
        <v>87.981999999999999</v>
      </c>
      <c r="AF2728" s="52">
        <f t="shared" si="286"/>
        <v>5.5606169898467228E-2</v>
      </c>
    </row>
    <row r="2729" spans="30:32">
      <c r="AD2729" s="50">
        <v>407.6</v>
      </c>
      <c r="AE2729" s="51">
        <v>88.061999999999998</v>
      </c>
      <c r="AF2729" s="52">
        <f t="shared" si="286"/>
        <v>5.5211455384551758E-2</v>
      </c>
    </row>
    <row r="2730" spans="30:32">
      <c r="AD2730" s="50">
        <v>407.5</v>
      </c>
      <c r="AE2730" s="51">
        <v>88.085999999999999</v>
      </c>
      <c r="AF2730" s="52">
        <f t="shared" si="286"/>
        <v>5.5093110951118782E-2</v>
      </c>
    </row>
    <row r="2731" spans="30:32">
      <c r="AD2731" s="50">
        <v>407.4</v>
      </c>
      <c r="AE2731" s="51">
        <v>88.128</v>
      </c>
      <c r="AF2731" s="52">
        <f t="shared" si="286"/>
        <v>5.4886085759189178E-2</v>
      </c>
    </row>
    <row r="2732" spans="30:32">
      <c r="AD2732" s="50">
        <v>407.3</v>
      </c>
      <c r="AE2732" s="51">
        <v>88.102999999999994</v>
      </c>
      <c r="AF2732" s="52">
        <f t="shared" si="286"/>
        <v>5.5009303151366616E-2</v>
      </c>
    </row>
    <row r="2733" spans="30:32">
      <c r="AD2733" s="50">
        <v>407.2</v>
      </c>
      <c r="AE2733" s="51">
        <v>88.096999999999994</v>
      </c>
      <c r="AF2733" s="52">
        <f t="shared" si="286"/>
        <v>5.5038880528125181E-2</v>
      </c>
    </row>
    <row r="2734" spans="30:32">
      <c r="AD2734" s="50">
        <v>407.1</v>
      </c>
      <c r="AE2734" s="51">
        <v>88.144000000000005</v>
      </c>
      <c r="AF2734" s="52">
        <f t="shared" si="286"/>
        <v>5.480724497075383E-2</v>
      </c>
    </row>
    <row r="2735" spans="30:32">
      <c r="AD2735" s="50">
        <v>407</v>
      </c>
      <c r="AE2735" s="51">
        <v>88.213999999999999</v>
      </c>
      <c r="AF2735" s="52">
        <f t="shared" si="286"/>
        <v>5.4462484706635145E-2</v>
      </c>
    </row>
    <row r="2736" spans="30:32">
      <c r="AD2736" s="50">
        <v>406.9</v>
      </c>
      <c r="AE2736" s="51">
        <v>88.247</v>
      </c>
      <c r="AF2736" s="52">
        <f t="shared" si="286"/>
        <v>5.4300049742876826E-2</v>
      </c>
    </row>
    <row r="2737" spans="30:32">
      <c r="AD2737" s="50">
        <v>406.8</v>
      </c>
      <c r="AE2737" s="51">
        <v>88.221999999999994</v>
      </c>
      <c r="AF2737" s="52">
        <f t="shared" si="286"/>
        <v>5.4423100954366886E-2</v>
      </c>
    </row>
    <row r="2738" spans="30:32">
      <c r="AD2738" s="50">
        <v>406.7</v>
      </c>
      <c r="AE2738" s="51">
        <v>88.23</v>
      </c>
      <c r="AF2738" s="52">
        <f t="shared" si="286"/>
        <v>5.4383720773268175E-2</v>
      </c>
    </row>
    <row r="2739" spans="30:32">
      <c r="AD2739" s="50">
        <v>406.6</v>
      </c>
      <c r="AE2739" s="51">
        <v>88.156999999999996</v>
      </c>
      <c r="AF2739" s="52">
        <f t="shared" si="286"/>
        <v>5.4743197367223807E-2</v>
      </c>
    </row>
    <row r="2740" spans="30:32">
      <c r="AD2740" s="50">
        <v>406.5</v>
      </c>
      <c r="AE2740" s="51">
        <v>88.266999999999996</v>
      </c>
      <c r="AF2740" s="52">
        <f t="shared" si="286"/>
        <v>5.4201633870195519E-2</v>
      </c>
    </row>
    <row r="2741" spans="30:32">
      <c r="AD2741" s="50">
        <v>406.4</v>
      </c>
      <c r="AE2741" s="51">
        <v>88.305000000000007</v>
      </c>
      <c r="AF2741" s="52">
        <f t="shared" si="286"/>
        <v>5.4014705132149697E-2</v>
      </c>
    </row>
    <row r="2742" spans="30:32">
      <c r="AD2742" s="50">
        <v>406.3</v>
      </c>
      <c r="AE2742" s="51">
        <v>88.388999999999996</v>
      </c>
      <c r="AF2742" s="52">
        <f t="shared" si="286"/>
        <v>5.3601779518058404E-2</v>
      </c>
    </row>
    <row r="2743" spans="30:32">
      <c r="AD2743" s="50">
        <v>406.2</v>
      </c>
      <c r="AE2743" s="51">
        <v>88.387</v>
      </c>
      <c r="AF2743" s="52">
        <f t="shared" si="286"/>
        <v>5.3611606519052203E-2</v>
      </c>
    </row>
    <row r="2744" spans="30:32">
      <c r="AD2744" s="50">
        <v>406.1</v>
      </c>
      <c r="AE2744" s="51">
        <v>88.385999999999996</v>
      </c>
      <c r="AF2744" s="52">
        <f t="shared" si="286"/>
        <v>5.3616520102935605E-2</v>
      </c>
    </row>
    <row r="2745" spans="30:32">
      <c r="AD2745" s="50">
        <v>406</v>
      </c>
      <c r="AE2745" s="51">
        <v>88.346000000000004</v>
      </c>
      <c r="AF2745" s="52">
        <f t="shared" si="286"/>
        <v>5.3813109057655253E-2</v>
      </c>
    </row>
    <row r="2746" spans="30:32">
      <c r="AD2746" s="50">
        <v>405.9</v>
      </c>
      <c r="AE2746" s="51">
        <v>88.352000000000004</v>
      </c>
      <c r="AF2746" s="52">
        <f t="shared" si="286"/>
        <v>5.3783615040830804E-2</v>
      </c>
    </row>
    <row r="2747" spans="30:32">
      <c r="AD2747" s="50">
        <v>405.8</v>
      </c>
      <c r="AE2747" s="51">
        <v>88.388999999999996</v>
      </c>
      <c r="AF2747" s="52">
        <f t="shared" si="286"/>
        <v>5.3601779518058404E-2</v>
      </c>
    </row>
    <row r="2748" spans="30:32">
      <c r="AD2748" s="50">
        <v>405.7</v>
      </c>
      <c r="AE2748" s="51">
        <v>88.432000000000002</v>
      </c>
      <c r="AF2748" s="52">
        <f t="shared" si="286"/>
        <v>5.3390552762300078E-2</v>
      </c>
    </row>
    <row r="2749" spans="30:32">
      <c r="AD2749" s="50">
        <v>405.6</v>
      </c>
      <c r="AE2749" s="51">
        <v>88.436999999999998</v>
      </c>
      <c r="AF2749" s="52">
        <f t="shared" si="286"/>
        <v>5.3365998177719469E-2</v>
      </c>
    </row>
    <row r="2750" spans="30:32">
      <c r="AD2750" s="50">
        <v>405.5</v>
      </c>
      <c r="AE2750" s="51">
        <v>88.456000000000003</v>
      </c>
      <c r="AF2750" s="52">
        <f t="shared" si="286"/>
        <v>5.3272703415485852E-2</v>
      </c>
    </row>
    <row r="2751" spans="30:32">
      <c r="AD2751" s="50">
        <v>405.4</v>
      </c>
      <c r="AE2751" s="51">
        <v>88.41</v>
      </c>
      <c r="AF2751" s="52">
        <f t="shared" si="286"/>
        <v>5.3498609430412424E-2</v>
      </c>
    </row>
    <row r="2752" spans="30:32">
      <c r="AD2752" s="50">
        <v>405.3</v>
      </c>
      <c r="AE2752" s="51">
        <v>88.478999999999999</v>
      </c>
      <c r="AF2752" s="52">
        <f t="shared" si="286"/>
        <v>5.3159794458636896E-2</v>
      </c>
    </row>
    <row r="2753" spans="30:32">
      <c r="AD2753" s="50">
        <v>405.2</v>
      </c>
      <c r="AE2753" s="51">
        <v>88.475999999999999</v>
      </c>
      <c r="AF2753" s="52">
        <f t="shared" si="286"/>
        <v>5.3174520049276704E-2</v>
      </c>
    </row>
    <row r="2754" spans="30:32">
      <c r="AD2754" s="50">
        <v>405.1</v>
      </c>
      <c r="AE2754" s="51">
        <v>88.51</v>
      </c>
      <c r="AF2754" s="52">
        <f t="shared" si="286"/>
        <v>5.3007659251627676E-2</v>
      </c>
    </row>
    <row r="2755" spans="30:32">
      <c r="AD2755" s="50">
        <v>405</v>
      </c>
      <c r="AE2755" s="51">
        <v>88.516000000000005</v>
      </c>
      <c r="AF2755" s="52">
        <f t="shared" si="286"/>
        <v>5.297821988235514E-2</v>
      </c>
    </row>
    <row r="2756" spans="30:32">
      <c r="AD2756" s="50">
        <v>404.9</v>
      </c>
      <c r="AE2756" s="51">
        <v>88.566999999999993</v>
      </c>
      <c r="AF2756" s="52">
        <f t="shared" si="286"/>
        <v>5.2728065782984335E-2</v>
      </c>
    </row>
    <row r="2757" spans="30:32">
      <c r="AD2757" s="50">
        <v>404.8</v>
      </c>
      <c r="AE2757" s="51">
        <v>88.528999999999996</v>
      </c>
      <c r="AF2757" s="52">
        <f t="shared" ref="AF2757:AF2820" si="287">-LOG(AE2757/100)</f>
        <v>5.2914441427443872E-2</v>
      </c>
    </row>
    <row r="2758" spans="30:32">
      <c r="AD2758" s="50">
        <v>404.7</v>
      </c>
      <c r="AE2758" s="51">
        <v>88.510999999999996</v>
      </c>
      <c r="AF2758" s="52">
        <f t="shared" si="287"/>
        <v>5.3002752551497119E-2</v>
      </c>
    </row>
    <row r="2759" spans="30:32">
      <c r="AD2759" s="50">
        <v>404.6</v>
      </c>
      <c r="AE2759" s="51">
        <v>88.495000000000005</v>
      </c>
      <c r="AF2759" s="52">
        <f t="shared" si="287"/>
        <v>5.3081266406726599E-2</v>
      </c>
    </row>
    <row r="2760" spans="30:32">
      <c r="AD2760" s="50">
        <v>404.5</v>
      </c>
      <c r="AE2760" s="51">
        <v>88.424000000000007</v>
      </c>
      <c r="AF2760" s="52">
        <f t="shared" si="287"/>
        <v>5.3429842985505335E-2</v>
      </c>
    </row>
    <row r="2761" spans="30:32">
      <c r="AD2761" s="50">
        <v>404.4</v>
      </c>
      <c r="AE2761" s="51">
        <v>88.516999999999996</v>
      </c>
      <c r="AF2761" s="52">
        <f t="shared" si="287"/>
        <v>5.2973313514820208E-2</v>
      </c>
    </row>
    <row r="2762" spans="30:32">
      <c r="AD2762" s="50">
        <v>404.3</v>
      </c>
      <c r="AE2762" s="51">
        <v>88.516000000000005</v>
      </c>
      <c r="AF2762" s="52">
        <f t="shared" si="287"/>
        <v>5.297821988235514E-2</v>
      </c>
    </row>
    <row r="2763" spans="30:32">
      <c r="AD2763" s="50">
        <v>404.2</v>
      </c>
      <c r="AE2763" s="51">
        <v>88.503</v>
      </c>
      <c r="AF2763" s="52">
        <f t="shared" si="287"/>
        <v>5.3042007704847585E-2</v>
      </c>
    </row>
    <row r="2764" spans="30:32">
      <c r="AD2764" s="50">
        <v>404.1</v>
      </c>
      <c r="AE2764" s="51">
        <v>88.563999999999993</v>
      </c>
      <c r="AF2764" s="52">
        <f t="shared" si="287"/>
        <v>5.2742776742057941E-2</v>
      </c>
    </row>
    <row r="2765" spans="30:32">
      <c r="AD2765" s="50">
        <v>404</v>
      </c>
      <c r="AE2765" s="51">
        <v>88.503</v>
      </c>
      <c r="AF2765" s="52">
        <f t="shared" si="287"/>
        <v>5.3042007704847585E-2</v>
      </c>
    </row>
    <row r="2766" spans="30:32">
      <c r="AD2766" s="50">
        <v>403.9</v>
      </c>
      <c r="AE2766" s="51">
        <v>88.510999999999996</v>
      </c>
      <c r="AF2766" s="52">
        <f t="shared" si="287"/>
        <v>5.3002752551497119E-2</v>
      </c>
    </row>
    <row r="2767" spans="30:32">
      <c r="AD2767" s="50">
        <v>403.8</v>
      </c>
      <c r="AE2767" s="51">
        <v>88.495000000000005</v>
      </c>
      <c r="AF2767" s="52">
        <f t="shared" si="287"/>
        <v>5.3081266406726599E-2</v>
      </c>
    </row>
    <row r="2768" spans="30:32">
      <c r="AD2768" s="50">
        <v>403.7</v>
      </c>
      <c r="AE2768" s="51">
        <v>88.58</v>
      </c>
      <c r="AF2768" s="52">
        <f t="shared" si="287"/>
        <v>5.2664324051260057E-2</v>
      </c>
    </row>
    <row r="2769" spans="30:32">
      <c r="AD2769" s="50">
        <v>403.6</v>
      </c>
      <c r="AE2769" s="51">
        <v>88.557000000000002</v>
      </c>
      <c r="AF2769" s="52">
        <f t="shared" si="287"/>
        <v>5.2777104251217288E-2</v>
      </c>
    </row>
    <row r="2770" spans="30:32">
      <c r="AD2770" s="50">
        <v>403.5</v>
      </c>
      <c r="AE2770" s="51">
        <v>88.534000000000006</v>
      </c>
      <c r="AF2770" s="52">
        <f t="shared" si="287"/>
        <v>5.2889913746221956E-2</v>
      </c>
    </row>
    <row r="2771" spans="30:32">
      <c r="AD2771" s="50">
        <v>403.4</v>
      </c>
      <c r="AE2771" s="51">
        <v>88.435000000000002</v>
      </c>
      <c r="AF2771" s="52">
        <f t="shared" si="287"/>
        <v>5.337581984495729E-2</v>
      </c>
    </row>
    <row r="2772" spans="30:32">
      <c r="AD2772" s="50">
        <v>403.3</v>
      </c>
      <c r="AE2772" s="51">
        <v>88.418999999999997</v>
      </c>
      <c r="AF2772" s="52">
        <f t="shared" si="287"/>
        <v>5.345440118017631E-2</v>
      </c>
    </row>
    <row r="2773" spans="30:32">
      <c r="AD2773" s="50">
        <v>403.2</v>
      </c>
      <c r="AE2773" s="51">
        <v>88.435000000000002</v>
      </c>
      <c r="AF2773" s="52">
        <f t="shared" si="287"/>
        <v>5.337581984495729E-2</v>
      </c>
    </row>
    <row r="2774" spans="30:32">
      <c r="AD2774" s="50">
        <v>403.1</v>
      </c>
      <c r="AE2774" s="51">
        <v>88.474999999999994</v>
      </c>
      <c r="AF2774" s="52">
        <f t="shared" si="287"/>
        <v>5.317942869044754E-2</v>
      </c>
    </row>
    <row r="2775" spans="30:32">
      <c r="AD2775" s="50">
        <v>403</v>
      </c>
      <c r="AE2775" s="51">
        <v>88.533000000000001</v>
      </c>
      <c r="AF2775" s="52">
        <f t="shared" si="287"/>
        <v>5.2894819171647428E-2</v>
      </c>
    </row>
    <row r="2776" spans="30:32">
      <c r="AD2776" s="50">
        <v>402.9</v>
      </c>
      <c r="AE2776" s="51">
        <v>88.519000000000005</v>
      </c>
      <c r="AF2776" s="52">
        <f t="shared" si="287"/>
        <v>5.2963500946033699E-2</v>
      </c>
    </row>
    <row r="2777" spans="30:32">
      <c r="AD2777" s="50">
        <v>402.8</v>
      </c>
      <c r="AE2777" s="51">
        <v>88.465000000000003</v>
      </c>
      <c r="AF2777" s="52">
        <f t="shared" si="287"/>
        <v>5.322851815380971E-2</v>
      </c>
    </row>
    <row r="2778" spans="30:32">
      <c r="AD2778" s="50">
        <v>402.7</v>
      </c>
      <c r="AE2778" s="51">
        <v>88.486000000000004</v>
      </c>
      <c r="AF2778" s="52">
        <f t="shared" si="287"/>
        <v>5.3125436688739869E-2</v>
      </c>
    </row>
    <row r="2779" spans="30:32">
      <c r="AD2779" s="50">
        <v>402.6</v>
      </c>
      <c r="AE2779" s="51">
        <v>88.441000000000003</v>
      </c>
      <c r="AF2779" s="52">
        <f t="shared" si="287"/>
        <v>5.3346355509576331E-2</v>
      </c>
    </row>
    <row r="2780" spans="30:32">
      <c r="AD2780" s="50">
        <v>402.5</v>
      </c>
      <c r="AE2780" s="51">
        <v>88.415000000000006</v>
      </c>
      <c r="AF2780" s="52">
        <f t="shared" si="287"/>
        <v>5.3474048735826257E-2</v>
      </c>
    </row>
    <row r="2781" spans="30:32">
      <c r="AD2781" s="50">
        <v>402.4</v>
      </c>
      <c r="AE2781" s="51">
        <v>88.492000000000004</v>
      </c>
      <c r="AF2781" s="52">
        <f t="shared" si="287"/>
        <v>5.309598933491718E-2</v>
      </c>
    </row>
    <row r="2782" spans="30:32">
      <c r="AD2782" s="50">
        <v>402.3</v>
      </c>
      <c r="AE2782" s="51">
        <v>88.492999999999995</v>
      </c>
      <c r="AF2782" s="52">
        <f t="shared" si="287"/>
        <v>5.3091081636729133E-2</v>
      </c>
    </row>
    <row r="2783" spans="30:32">
      <c r="AD2783" s="50">
        <v>402.2</v>
      </c>
      <c r="AE2783" s="51">
        <v>88.501000000000005</v>
      </c>
      <c r="AF2783" s="52">
        <f t="shared" si="287"/>
        <v>5.3051822047617686E-2</v>
      </c>
    </row>
    <row r="2784" spans="30:32">
      <c r="AD2784" s="50">
        <v>402.1</v>
      </c>
      <c r="AE2784" s="51">
        <v>88.438999999999993</v>
      </c>
      <c r="AF2784" s="52">
        <f t="shared" si="287"/>
        <v>5.3356176732595878E-2</v>
      </c>
    </row>
    <row r="2785" spans="30:32">
      <c r="AD2785" s="50">
        <v>402</v>
      </c>
      <c r="AE2785" s="51">
        <v>88.477000000000004</v>
      </c>
      <c r="AF2785" s="52">
        <f t="shared" si="287"/>
        <v>5.3169611463585467E-2</v>
      </c>
    </row>
    <row r="2786" spans="30:32">
      <c r="AD2786" s="50">
        <v>401.9</v>
      </c>
      <c r="AE2786" s="51">
        <v>88.474000000000004</v>
      </c>
      <c r="AF2786" s="52">
        <f t="shared" si="287"/>
        <v>5.3184337387099129E-2</v>
      </c>
    </row>
    <row r="2787" spans="30:32">
      <c r="AD2787" s="50">
        <v>401.8</v>
      </c>
      <c r="AE2787" s="51">
        <v>88.465999999999994</v>
      </c>
      <c r="AF2787" s="52">
        <f t="shared" si="287"/>
        <v>5.3223608957773956E-2</v>
      </c>
    </row>
    <row r="2788" spans="30:32">
      <c r="AD2788" s="50">
        <v>401.7</v>
      </c>
      <c r="AE2788" s="51">
        <v>88.468999999999994</v>
      </c>
      <c r="AF2788" s="52">
        <f t="shared" si="287"/>
        <v>5.3208881702614286E-2</v>
      </c>
    </row>
    <row r="2789" spans="30:32">
      <c r="AD2789" s="50">
        <v>401.6</v>
      </c>
      <c r="AE2789" s="51">
        <v>88.474999999999994</v>
      </c>
      <c r="AF2789" s="52">
        <f t="shared" si="287"/>
        <v>5.317942869044754E-2</v>
      </c>
    </row>
    <row r="2790" spans="30:32">
      <c r="AD2790" s="50">
        <v>401.5</v>
      </c>
      <c r="AE2790" s="51">
        <v>88.52</v>
      </c>
      <c r="AF2790" s="52">
        <f t="shared" si="287"/>
        <v>5.2958594744779666E-2</v>
      </c>
    </row>
    <row r="2791" spans="30:32">
      <c r="AD2791" s="50">
        <v>401.4</v>
      </c>
      <c r="AE2791" s="51">
        <v>88.45</v>
      </c>
      <c r="AF2791" s="52">
        <f t="shared" si="287"/>
        <v>5.3302162754258045E-2</v>
      </c>
    </row>
    <row r="2792" spans="30:32">
      <c r="AD2792" s="50">
        <v>401.3</v>
      </c>
      <c r="AE2792" s="51">
        <v>88.435000000000002</v>
      </c>
      <c r="AF2792" s="52">
        <f t="shared" si="287"/>
        <v>5.337581984495729E-2</v>
      </c>
    </row>
    <row r="2793" spans="30:32">
      <c r="AD2793" s="50">
        <v>401.2</v>
      </c>
      <c r="AE2793" s="51">
        <v>88.495999999999995</v>
      </c>
      <c r="AF2793" s="52">
        <f t="shared" si="287"/>
        <v>5.3076358874909656E-2</v>
      </c>
    </row>
    <row r="2794" spans="30:32">
      <c r="AD2794" s="50">
        <v>401.1</v>
      </c>
      <c r="AE2794" s="51">
        <v>88.555000000000007</v>
      </c>
      <c r="AF2794" s="52">
        <f t="shared" si="287"/>
        <v>5.2786912609361733E-2</v>
      </c>
    </row>
    <row r="2795" spans="30:32">
      <c r="AD2795" s="50">
        <v>401</v>
      </c>
      <c r="AE2795" s="51">
        <v>88.599000000000004</v>
      </c>
      <c r="AF2795" s="52">
        <f t="shared" si="287"/>
        <v>5.2571179884199709E-2</v>
      </c>
    </row>
    <row r="2796" spans="30:32">
      <c r="AD2796" s="50">
        <v>400.9</v>
      </c>
      <c r="AE2796" s="51">
        <v>88.587999999999994</v>
      </c>
      <c r="AF2796" s="52">
        <f t="shared" si="287"/>
        <v>5.2625103019724104E-2</v>
      </c>
    </row>
    <row r="2797" spans="30:32">
      <c r="AD2797" s="50">
        <v>400.8</v>
      </c>
      <c r="AE2797" s="51">
        <v>88.540999999999997</v>
      </c>
      <c r="AF2797" s="52">
        <f t="shared" si="287"/>
        <v>5.2855577319567693E-2</v>
      </c>
    </row>
    <row r="2798" spans="30:32">
      <c r="AD2798" s="50">
        <v>400.7</v>
      </c>
      <c r="AE2798" s="51">
        <v>88.518000000000001</v>
      </c>
      <c r="AF2798" s="52">
        <f t="shared" si="287"/>
        <v>5.2968407202713494E-2</v>
      </c>
    </row>
    <row r="2799" spans="30:32">
      <c r="AD2799" s="50">
        <v>400.6</v>
      </c>
      <c r="AE2799" s="51">
        <v>88.536000000000001</v>
      </c>
      <c r="AF2799" s="52">
        <f t="shared" si="287"/>
        <v>5.2880103061590522E-2</v>
      </c>
    </row>
    <row r="2800" spans="30:32">
      <c r="AD2800" s="50">
        <v>400.5</v>
      </c>
      <c r="AE2800" s="51">
        <v>88.593999999999994</v>
      </c>
      <c r="AF2800" s="52">
        <f t="shared" si="287"/>
        <v>5.2595689570362224E-2</v>
      </c>
    </row>
    <row r="2801" spans="30:32">
      <c r="AD2801" s="50">
        <v>400.4</v>
      </c>
      <c r="AE2801" s="51">
        <v>88.566999999999993</v>
      </c>
      <c r="AF2801" s="52">
        <f t="shared" si="287"/>
        <v>5.2728065782984335E-2</v>
      </c>
    </row>
    <row r="2802" spans="30:32">
      <c r="AD2802" s="50">
        <v>400.3</v>
      </c>
      <c r="AE2802" s="51">
        <v>88.59</v>
      </c>
      <c r="AF2802" s="52">
        <f t="shared" si="287"/>
        <v>5.2615298315259108E-2</v>
      </c>
    </row>
    <row r="2803" spans="30:32">
      <c r="AD2803" s="50">
        <v>400.2</v>
      </c>
      <c r="AE2803" s="51">
        <v>88.525000000000006</v>
      </c>
      <c r="AF2803" s="52">
        <f t="shared" si="287"/>
        <v>5.293406456985128E-2</v>
      </c>
    </row>
    <row r="2804" spans="30:32">
      <c r="AD2804" s="50">
        <v>400.1</v>
      </c>
      <c r="AE2804" s="51">
        <v>88.561000000000007</v>
      </c>
      <c r="AF2804" s="52">
        <f t="shared" si="287"/>
        <v>5.2757488199456144E-2</v>
      </c>
    </row>
    <row r="2805" spans="30:32">
      <c r="AD2805" s="50">
        <v>400</v>
      </c>
      <c r="AE2805" s="51">
        <v>88.548000000000002</v>
      </c>
      <c r="AF2805" s="52">
        <f t="shared" si="287"/>
        <v>5.2821243607423948E-2</v>
      </c>
    </row>
    <row r="2806" spans="30:32">
      <c r="AD2806" s="50">
        <v>399.9</v>
      </c>
      <c r="AE2806" s="51">
        <v>88.623999999999995</v>
      </c>
      <c r="AF2806" s="52">
        <f t="shared" si="287"/>
        <v>5.2448652197391636E-2</v>
      </c>
    </row>
    <row r="2807" spans="30:32">
      <c r="AD2807" s="50">
        <v>399.8</v>
      </c>
      <c r="AE2807" s="51">
        <v>88.634</v>
      </c>
      <c r="AF2807" s="52">
        <f t="shared" si="287"/>
        <v>5.2399650800290867E-2</v>
      </c>
    </row>
    <row r="2808" spans="30:32">
      <c r="AD2808" s="50">
        <v>399.7</v>
      </c>
      <c r="AE2808" s="51">
        <v>88.688000000000002</v>
      </c>
      <c r="AF2808" s="52">
        <f t="shared" si="287"/>
        <v>5.2135138751613956E-2</v>
      </c>
    </row>
    <row r="2809" spans="30:32">
      <c r="AD2809" s="50">
        <v>399.6</v>
      </c>
      <c r="AE2809" s="51">
        <v>88.653000000000006</v>
      </c>
      <c r="AF2809" s="52">
        <f t="shared" si="287"/>
        <v>5.230656337495506E-2</v>
      </c>
    </row>
    <row r="2810" spans="30:32">
      <c r="AD2810" s="50">
        <v>399.5</v>
      </c>
      <c r="AE2810" s="51">
        <v>88.637</v>
      </c>
      <c r="AF2810" s="52">
        <f t="shared" si="287"/>
        <v>5.2384951459216095E-2</v>
      </c>
    </row>
    <row r="2811" spans="30:32">
      <c r="AD2811" s="50">
        <v>399.4</v>
      </c>
      <c r="AE2811" s="51">
        <v>88.64</v>
      </c>
      <c r="AF2811" s="52">
        <f t="shared" si="287"/>
        <v>5.2370252615645485E-2</v>
      </c>
    </row>
    <row r="2812" spans="30:32">
      <c r="AD2812" s="50">
        <v>399.3</v>
      </c>
      <c r="AE2812" s="51">
        <v>88.600999999999999</v>
      </c>
      <c r="AF2812" s="52">
        <f t="shared" si="287"/>
        <v>5.2561376397023192E-2</v>
      </c>
    </row>
    <row r="2813" spans="30:32">
      <c r="AD2813" s="50">
        <v>399.2</v>
      </c>
      <c r="AE2813" s="51">
        <v>88.623000000000005</v>
      </c>
      <c r="AF2813" s="52">
        <f t="shared" si="287"/>
        <v>5.2453552641200572E-2</v>
      </c>
    </row>
    <row r="2814" spans="30:32">
      <c r="AD2814" s="50">
        <v>399.1</v>
      </c>
      <c r="AE2814" s="51">
        <v>88.626999999999995</v>
      </c>
      <c r="AF2814" s="52">
        <f t="shared" si="287"/>
        <v>5.2433951197726328E-2</v>
      </c>
    </row>
    <row r="2815" spans="30:32">
      <c r="AD2815" s="50">
        <v>399</v>
      </c>
      <c r="AE2815" s="51">
        <v>88.597999999999999</v>
      </c>
      <c r="AF2815" s="52">
        <f t="shared" si="287"/>
        <v>5.25760817107759E-2</v>
      </c>
    </row>
    <row r="2816" spans="30:32">
      <c r="AD2816" s="50">
        <v>398.9</v>
      </c>
      <c r="AE2816" s="51">
        <v>88.626000000000005</v>
      </c>
      <c r="AF2816" s="52">
        <f t="shared" si="287"/>
        <v>5.2438851475655676E-2</v>
      </c>
    </row>
    <row r="2817" spans="30:32">
      <c r="AD2817" s="50">
        <v>398.8</v>
      </c>
      <c r="AE2817" s="51">
        <v>88.6</v>
      </c>
      <c r="AF2817" s="52">
        <f t="shared" si="287"/>
        <v>5.2566278112949297E-2</v>
      </c>
    </row>
    <row r="2818" spans="30:32">
      <c r="AD2818" s="50">
        <v>398.7</v>
      </c>
      <c r="AE2818" s="51">
        <v>88.64</v>
      </c>
      <c r="AF2818" s="52">
        <f t="shared" si="287"/>
        <v>5.2370252615645485E-2</v>
      </c>
    </row>
    <row r="2819" spans="30:32">
      <c r="AD2819" s="50">
        <v>398.6</v>
      </c>
      <c r="AE2819" s="51">
        <v>88.65</v>
      </c>
      <c r="AF2819" s="52">
        <f t="shared" si="287"/>
        <v>5.2321260063063361E-2</v>
      </c>
    </row>
    <row r="2820" spans="30:32">
      <c r="AD2820" s="50">
        <v>398.5</v>
      </c>
      <c r="AE2820" s="51">
        <v>88.622</v>
      </c>
      <c r="AF2820" s="52">
        <f t="shared" si="287"/>
        <v>5.2458453140305318E-2</v>
      </c>
    </row>
    <row r="2821" spans="30:32">
      <c r="AD2821" s="50">
        <v>398.4</v>
      </c>
      <c r="AE2821" s="51">
        <v>88.608000000000004</v>
      </c>
      <c r="AF2821" s="52">
        <f t="shared" ref="AF2821:AF2884" si="288">-LOG(AE2821/100)</f>
        <v>5.2527065934519487E-2</v>
      </c>
    </row>
    <row r="2822" spans="30:32">
      <c r="AD2822" s="50">
        <v>398.3</v>
      </c>
      <c r="AE2822" s="51">
        <v>88.629000000000005</v>
      </c>
      <c r="AF2822" s="52">
        <f t="shared" si="288"/>
        <v>5.2424150807738462E-2</v>
      </c>
    </row>
    <row r="2823" spans="30:32">
      <c r="AD2823" s="50">
        <v>398.2</v>
      </c>
      <c r="AE2823" s="51">
        <v>88.587999999999994</v>
      </c>
      <c r="AF2823" s="52">
        <f t="shared" si="288"/>
        <v>5.2625103019724104E-2</v>
      </c>
    </row>
    <row r="2824" spans="30:32">
      <c r="AD2824" s="50">
        <v>398.1</v>
      </c>
      <c r="AE2824" s="51">
        <v>88.555999999999997</v>
      </c>
      <c r="AF2824" s="52">
        <f t="shared" si="288"/>
        <v>5.2782008402599806E-2</v>
      </c>
    </row>
    <row r="2825" spans="30:32">
      <c r="AD2825" s="50">
        <v>398</v>
      </c>
      <c r="AE2825" s="51">
        <v>88.542000000000002</v>
      </c>
      <c r="AF2825" s="52">
        <f t="shared" si="288"/>
        <v>5.2850672337362618E-2</v>
      </c>
    </row>
    <row r="2826" spans="30:32">
      <c r="AD2826" s="50">
        <v>397.9</v>
      </c>
      <c r="AE2826" s="51">
        <v>88.555999999999997</v>
      </c>
      <c r="AF2826" s="52">
        <f t="shared" si="288"/>
        <v>5.2782008402599806E-2</v>
      </c>
    </row>
    <row r="2827" spans="30:32">
      <c r="AD2827" s="50">
        <v>397.8</v>
      </c>
      <c r="AE2827" s="51">
        <v>88.611999999999995</v>
      </c>
      <c r="AF2827" s="52">
        <f t="shared" si="288"/>
        <v>5.2507461172890998E-2</v>
      </c>
    </row>
    <row r="2828" spans="30:32">
      <c r="AD2828" s="50">
        <v>397.7</v>
      </c>
      <c r="AE2828" s="51">
        <v>88.655000000000001</v>
      </c>
      <c r="AF2828" s="52">
        <f t="shared" si="288"/>
        <v>5.2296765859176371E-2</v>
      </c>
    </row>
    <row r="2829" spans="30:32">
      <c r="AD2829" s="50">
        <v>397.6</v>
      </c>
      <c r="AE2829" s="51">
        <v>88.623000000000005</v>
      </c>
      <c r="AF2829" s="52">
        <f t="shared" si="288"/>
        <v>5.2453552641200572E-2</v>
      </c>
    </row>
    <row r="2830" spans="30:32">
      <c r="AD2830" s="50">
        <v>397.5</v>
      </c>
      <c r="AE2830" s="51">
        <v>88.597999999999999</v>
      </c>
      <c r="AF2830" s="52">
        <f t="shared" si="288"/>
        <v>5.25760817107759E-2</v>
      </c>
    </row>
    <row r="2831" spans="30:32">
      <c r="AD2831" s="50">
        <v>397.4</v>
      </c>
      <c r="AE2831" s="51">
        <v>88.593000000000004</v>
      </c>
      <c r="AF2831" s="52">
        <f t="shared" si="288"/>
        <v>5.260059167358544E-2</v>
      </c>
    </row>
    <row r="2832" spans="30:32">
      <c r="AD2832" s="50">
        <v>397.3</v>
      </c>
      <c r="AE2832" s="51">
        <v>88.674999999999997</v>
      </c>
      <c r="AF2832" s="52">
        <f t="shared" si="288"/>
        <v>5.2198802856019674E-2</v>
      </c>
    </row>
    <row r="2833" spans="30:32">
      <c r="AD2833" s="50">
        <v>397.2</v>
      </c>
      <c r="AE2833" s="51">
        <v>88.646000000000001</v>
      </c>
      <c r="AF2833" s="52">
        <f t="shared" si="288"/>
        <v>5.2340856420882029E-2</v>
      </c>
    </row>
    <row r="2834" spans="30:32">
      <c r="AD2834" s="50">
        <v>397.1</v>
      </c>
      <c r="AE2834" s="51">
        <v>88.593000000000004</v>
      </c>
      <c r="AF2834" s="52">
        <f t="shared" si="288"/>
        <v>5.260059167358544E-2</v>
      </c>
    </row>
    <row r="2835" spans="30:32">
      <c r="AD2835" s="50">
        <v>397</v>
      </c>
      <c r="AE2835" s="51">
        <v>88.613</v>
      </c>
      <c r="AF2835" s="52">
        <f t="shared" si="288"/>
        <v>5.2502560120760537E-2</v>
      </c>
    </row>
    <row r="2836" spans="30:32">
      <c r="AD2836" s="50">
        <v>396.9</v>
      </c>
      <c r="AE2836" s="51">
        <v>88.563999999999993</v>
      </c>
      <c r="AF2836" s="52">
        <f t="shared" si="288"/>
        <v>5.2742776742057941E-2</v>
      </c>
    </row>
    <row r="2837" spans="30:32">
      <c r="AD2837" s="50">
        <v>396.8</v>
      </c>
      <c r="AE2837" s="51">
        <v>88.587999999999994</v>
      </c>
      <c r="AF2837" s="52">
        <f t="shared" si="288"/>
        <v>5.2625103019724104E-2</v>
      </c>
    </row>
    <row r="2838" spans="30:32">
      <c r="AD2838" s="50">
        <v>396.7</v>
      </c>
      <c r="AE2838" s="51">
        <v>88.62</v>
      </c>
      <c r="AF2838" s="52">
        <f t="shared" si="288"/>
        <v>5.2468254304406825E-2</v>
      </c>
    </row>
    <row r="2839" spans="30:32">
      <c r="AD2839" s="50">
        <v>396.6</v>
      </c>
      <c r="AE2839" s="51">
        <v>88.599000000000004</v>
      </c>
      <c r="AF2839" s="52">
        <f t="shared" si="288"/>
        <v>5.2571179884199709E-2</v>
      </c>
    </row>
    <row r="2840" spans="30:32">
      <c r="AD2840" s="50">
        <v>396.5</v>
      </c>
      <c r="AE2840" s="51">
        <v>88.602999999999994</v>
      </c>
      <c r="AF2840" s="52">
        <f t="shared" si="288"/>
        <v>5.2551573131139305E-2</v>
      </c>
    </row>
    <row r="2841" spans="30:32">
      <c r="AD2841" s="50">
        <v>396.4</v>
      </c>
      <c r="AE2841" s="51">
        <v>88.662999999999997</v>
      </c>
      <c r="AF2841" s="52">
        <f t="shared" si="288"/>
        <v>5.225757800619385E-2</v>
      </c>
    </row>
    <row r="2842" spans="30:32">
      <c r="AD2842" s="50">
        <v>396.3</v>
      </c>
      <c r="AE2842" s="51">
        <v>88.66</v>
      </c>
      <c r="AF2842" s="52">
        <f t="shared" si="288"/>
        <v>5.2272273036684344E-2</v>
      </c>
    </row>
    <row r="2843" spans="30:32">
      <c r="AD2843" s="50">
        <v>396.2</v>
      </c>
      <c r="AE2843" s="51">
        <v>88.688000000000002</v>
      </c>
      <c r="AF2843" s="52">
        <f t="shared" si="288"/>
        <v>5.2135138751613956E-2</v>
      </c>
    </row>
    <row r="2844" spans="30:32">
      <c r="AD2844" s="50">
        <v>396.1</v>
      </c>
      <c r="AE2844" s="51">
        <v>88.632999999999996</v>
      </c>
      <c r="AF2844" s="52">
        <f t="shared" si="288"/>
        <v>5.2404550691211464E-2</v>
      </c>
    </row>
    <row r="2845" spans="30:32">
      <c r="AD2845" s="50">
        <v>396</v>
      </c>
      <c r="AE2845" s="51">
        <v>88.602000000000004</v>
      </c>
      <c r="AF2845" s="52">
        <f t="shared" si="288"/>
        <v>5.2556474736420257E-2</v>
      </c>
    </row>
    <row r="2846" spans="30:32">
      <c r="AD2846" s="50">
        <v>395.9</v>
      </c>
      <c r="AE2846" s="51">
        <v>88.644000000000005</v>
      </c>
      <c r="AF2846" s="52">
        <f t="shared" si="288"/>
        <v>5.2350654931388484E-2</v>
      </c>
    </row>
    <row r="2847" spans="30:32">
      <c r="AD2847" s="50">
        <v>395.8</v>
      </c>
      <c r="AE2847" s="51">
        <v>88.683999999999997</v>
      </c>
      <c r="AF2847" s="52">
        <f t="shared" si="288"/>
        <v>5.2154726712824395E-2</v>
      </c>
    </row>
    <row r="2848" spans="30:32">
      <c r="AD2848" s="50">
        <v>395.7</v>
      </c>
      <c r="AE2848" s="51">
        <v>88.616</v>
      </c>
      <c r="AF2848" s="52">
        <f t="shared" si="288"/>
        <v>5.2487857296213393E-2</v>
      </c>
    </row>
    <row r="2849" spans="30:32">
      <c r="AD2849" s="50">
        <v>395.6</v>
      </c>
      <c r="AE2849" s="51">
        <v>88.646000000000001</v>
      </c>
      <c r="AF2849" s="52">
        <f t="shared" si="288"/>
        <v>5.2340856420882029E-2</v>
      </c>
    </row>
    <row r="2850" spans="30:32">
      <c r="AD2850" s="50">
        <v>395.5</v>
      </c>
      <c r="AE2850" s="51">
        <v>88.626000000000005</v>
      </c>
      <c r="AF2850" s="52">
        <f t="shared" si="288"/>
        <v>5.2438851475655676E-2</v>
      </c>
    </row>
    <row r="2851" spans="30:32">
      <c r="AD2851" s="50">
        <v>395.4</v>
      </c>
      <c r="AE2851" s="51">
        <v>88.646000000000001</v>
      </c>
      <c r="AF2851" s="52">
        <f t="shared" si="288"/>
        <v>5.2340856420882029E-2</v>
      </c>
    </row>
    <row r="2852" spans="30:32">
      <c r="AD2852" s="50">
        <v>395.3</v>
      </c>
      <c r="AE2852" s="51">
        <v>88.634</v>
      </c>
      <c r="AF2852" s="52">
        <f t="shared" si="288"/>
        <v>5.2399650800290867E-2</v>
      </c>
    </row>
    <row r="2853" spans="30:32">
      <c r="AD2853" s="50">
        <v>395.2</v>
      </c>
      <c r="AE2853" s="51">
        <v>88.599000000000004</v>
      </c>
      <c r="AF2853" s="52">
        <f t="shared" si="288"/>
        <v>5.2571179884199709E-2</v>
      </c>
    </row>
    <row r="2854" spans="30:32">
      <c r="AD2854" s="50">
        <v>395.1</v>
      </c>
      <c r="AE2854" s="51">
        <v>88.67</v>
      </c>
      <c r="AF2854" s="52">
        <f t="shared" si="288"/>
        <v>5.222329153526168E-2</v>
      </c>
    </row>
    <row r="2855" spans="30:32">
      <c r="AD2855" s="50">
        <v>395</v>
      </c>
      <c r="AE2855" s="51">
        <v>88.628</v>
      </c>
      <c r="AF2855" s="52">
        <f t="shared" si="288"/>
        <v>5.2429050975087689E-2</v>
      </c>
    </row>
    <row r="2856" spans="30:32">
      <c r="AD2856" s="50">
        <v>394.9</v>
      </c>
      <c r="AE2856" s="51">
        <v>88.611999999999995</v>
      </c>
      <c r="AF2856" s="52">
        <f t="shared" si="288"/>
        <v>5.2507461172890998E-2</v>
      </c>
    </row>
    <row r="2857" spans="30:32">
      <c r="AD2857" s="50">
        <v>394.8</v>
      </c>
      <c r="AE2857" s="51">
        <v>88.59</v>
      </c>
      <c r="AF2857" s="52">
        <f t="shared" si="288"/>
        <v>5.2615298315259108E-2</v>
      </c>
    </row>
    <row r="2858" spans="30:32">
      <c r="AD2858" s="50">
        <v>394.7</v>
      </c>
      <c r="AE2858" s="51">
        <v>88.581000000000003</v>
      </c>
      <c r="AF2858" s="52">
        <f t="shared" si="288"/>
        <v>5.2659421228608276E-2</v>
      </c>
    </row>
    <row r="2859" spans="30:32">
      <c r="AD2859" s="50">
        <v>394.6</v>
      </c>
      <c r="AE2859" s="51">
        <v>88.591999999999999</v>
      </c>
      <c r="AF2859" s="52">
        <f t="shared" si="288"/>
        <v>5.2605493832141817E-2</v>
      </c>
    </row>
    <row r="2860" spans="30:32">
      <c r="AD2860" s="50">
        <v>394.5</v>
      </c>
      <c r="AE2860" s="51">
        <v>88.57</v>
      </c>
      <c r="AF2860" s="52">
        <f t="shared" si="288"/>
        <v>5.271335532220163E-2</v>
      </c>
    </row>
    <row r="2861" spans="30:32">
      <c r="AD2861" s="50">
        <v>394.4</v>
      </c>
      <c r="AE2861" s="51">
        <v>88.555000000000007</v>
      </c>
      <c r="AF2861" s="52">
        <f t="shared" si="288"/>
        <v>5.2786912609361733E-2</v>
      </c>
    </row>
    <row r="2862" spans="30:32">
      <c r="AD2862" s="50">
        <v>394.3</v>
      </c>
      <c r="AE2862" s="51">
        <v>88.552999999999997</v>
      </c>
      <c r="AF2862" s="52">
        <f t="shared" si="288"/>
        <v>5.2796721189028929E-2</v>
      </c>
    </row>
    <row r="2863" spans="30:32">
      <c r="AD2863" s="50">
        <v>394.2</v>
      </c>
      <c r="AE2863" s="51">
        <v>88.483000000000004</v>
      </c>
      <c r="AF2863" s="52">
        <f t="shared" si="288"/>
        <v>5.3140161114439713E-2</v>
      </c>
    </row>
    <row r="2864" spans="30:32">
      <c r="AD2864" s="50">
        <v>394.1</v>
      </c>
      <c r="AE2864" s="51">
        <v>88.433999999999997</v>
      </c>
      <c r="AF2864" s="52">
        <f t="shared" si="288"/>
        <v>5.3380730761872136E-2</v>
      </c>
    </row>
    <row r="2865" spans="30:32">
      <c r="AD2865" s="50">
        <v>394</v>
      </c>
      <c r="AE2865" s="51">
        <v>88.373000000000005</v>
      </c>
      <c r="AF2865" s="52">
        <f t="shared" si="288"/>
        <v>5.3680401752808263E-2</v>
      </c>
    </row>
    <row r="2866" spans="30:32">
      <c r="AD2866" s="50">
        <v>393.9</v>
      </c>
      <c r="AE2866" s="51">
        <v>88.331000000000003</v>
      </c>
      <c r="AF2866" s="52">
        <f t="shared" si="288"/>
        <v>5.3886852864083942E-2</v>
      </c>
    </row>
    <row r="2867" spans="30:32">
      <c r="AD2867" s="50">
        <v>393.8</v>
      </c>
      <c r="AE2867" s="51">
        <v>88.256</v>
      </c>
      <c r="AF2867" s="52">
        <f t="shared" si="288"/>
        <v>5.4255759840263068E-2</v>
      </c>
    </row>
    <row r="2868" spans="30:32">
      <c r="AD2868" s="50">
        <v>393.7</v>
      </c>
      <c r="AE2868" s="51">
        <v>88.206000000000003</v>
      </c>
      <c r="AF2868" s="52">
        <f t="shared" si="288"/>
        <v>5.4501872030720919E-2</v>
      </c>
    </row>
    <row r="2869" spans="30:32">
      <c r="AD2869" s="50">
        <v>393.6</v>
      </c>
      <c r="AE2869" s="51">
        <v>88.165999999999997</v>
      </c>
      <c r="AF2869" s="52">
        <f t="shared" si="288"/>
        <v>5.4698862251095735E-2</v>
      </c>
    </row>
    <row r="2870" spans="30:32">
      <c r="AD2870" s="50">
        <v>393.5</v>
      </c>
      <c r="AE2870" s="51">
        <v>88.094999999999999</v>
      </c>
      <c r="AF2870" s="52">
        <f t="shared" si="288"/>
        <v>5.5048740101361647E-2</v>
      </c>
    </row>
    <row r="2871" spans="30:32">
      <c r="AD2871" s="50">
        <v>393.4</v>
      </c>
      <c r="AE2871" s="51">
        <v>87.981999999999999</v>
      </c>
      <c r="AF2871" s="52">
        <f t="shared" si="288"/>
        <v>5.5606169898467228E-2</v>
      </c>
    </row>
    <row r="2872" spans="30:32">
      <c r="AD2872" s="50">
        <v>393.3</v>
      </c>
      <c r="AE2872" s="51">
        <v>87.917000000000002</v>
      </c>
      <c r="AF2872" s="52">
        <f t="shared" si="288"/>
        <v>5.5927139802885495E-2</v>
      </c>
    </row>
    <row r="2873" spans="30:32">
      <c r="AD2873" s="50">
        <v>393.2</v>
      </c>
      <c r="AE2873" s="51">
        <v>87.83</v>
      </c>
      <c r="AF2873" s="52">
        <f t="shared" si="288"/>
        <v>5.6357117247870993E-2</v>
      </c>
    </row>
    <row r="2874" spans="30:32">
      <c r="AD2874" s="50">
        <v>393.1</v>
      </c>
      <c r="AE2874" s="51">
        <v>87.793999999999997</v>
      </c>
      <c r="AF2874" s="52">
        <f t="shared" si="288"/>
        <v>5.6535163546412172E-2</v>
      </c>
    </row>
    <row r="2875" spans="30:32">
      <c r="AD2875" s="50">
        <v>393</v>
      </c>
      <c r="AE2875" s="51">
        <v>87.677999999999997</v>
      </c>
      <c r="AF2875" s="52">
        <f t="shared" si="288"/>
        <v>5.7109365324924E-2</v>
      </c>
    </row>
    <row r="2876" spans="30:32">
      <c r="AD2876" s="50">
        <v>392.9</v>
      </c>
      <c r="AE2876" s="51">
        <v>87.501000000000005</v>
      </c>
      <c r="AF2876" s="52">
        <f t="shared" si="288"/>
        <v>5.7986983640541126E-2</v>
      </c>
    </row>
    <row r="2877" spans="30:32">
      <c r="AD2877" s="50">
        <v>392.8</v>
      </c>
      <c r="AE2877" s="51">
        <v>87.44</v>
      </c>
      <c r="AF2877" s="52">
        <f t="shared" si="288"/>
        <v>5.8289851058353645E-2</v>
      </c>
    </row>
    <row r="2878" spans="30:32">
      <c r="AD2878" s="50">
        <v>392.7</v>
      </c>
      <c r="AE2878" s="51">
        <v>87.31</v>
      </c>
      <c r="AF2878" s="52">
        <f t="shared" si="288"/>
        <v>5.893601178009799E-2</v>
      </c>
    </row>
    <row r="2879" spans="30:32">
      <c r="AD2879" s="50">
        <v>392.6</v>
      </c>
      <c r="AE2879" s="51">
        <v>87.195999999999998</v>
      </c>
      <c r="AF2879" s="52">
        <f t="shared" si="288"/>
        <v>5.9503437289592911E-2</v>
      </c>
    </row>
    <row r="2880" spans="30:32">
      <c r="AD2880" s="50">
        <v>392.5</v>
      </c>
      <c r="AE2880" s="51">
        <v>87.03</v>
      </c>
      <c r="AF2880" s="52">
        <f t="shared" si="288"/>
        <v>6.0331016477673471E-2</v>
      </c>
    </row>
    <row r="2881" spans="30:34">
      <c r="AD2881" s="50">
        <v>392.4</v>
      </c>
      <c r="AE2881" s="51">
        <v>86.912000000000006</v>
      </c>
      <c r="AF2881" s="52">
        <f t="shared" si="288"/>
        <v>6.0920256071629895E-2</v>
      </c>
    </row>
    <row r="2882" spans="30:34">
      <c r="AD2882" s="50">
        <v>392.3</v>
      </c>
      <c r="AE2882" s="51">
        <v>86.872</v>
      </c>
      <c r="AF2882" s="52">
        <f t="shared" si="288"/>
        <v>6.11201798802994E-2</v>
      </c>
    </row>
    <row r="2883" spans="30:34">
      <c r="AD2883" s="50">
        <v>392.2</v>
      </c>
      <c r="AE2883" s="51">
        <v>86.778000000000006</v>
      </c>
      <c r="AF2883" s="52">
        <f t="shared" si="288"/>
        <v>6.1590363413686906E-2</v>
      </c>
    </row>
    <row r="2884" spans="30:34">
      <c r="AD2884" s="50">
        <v>392.1</v>
      </c>
      <c r="AE2884" s="51">
        <v>86.745999999999995</v>
      </c>
      <c r="AF2884" s="52">
        <f t="shared" si="288"/>
        <v>6.1750542104570635E-2</v>
      </c>
      <c r="AG2884">
        <f>SMALL(AF2885:AF3005,4)</f>
        <v>6.2096128570409137E-2</v>
      </c>
      <c r="AH2884" t="s">
        <v>347</v>
      </c>
    </row>
    <row r="2885" spans="30:34">
      <c r="AD2885" s="50">
        <v>392</v>
      </c>
      <c r="AE2885" s="51">
        <v>86.638999999999996</v>
      </c>
      <c r="AF2885" s="52">
        <f t="shared" ref="AF2885:AF2948" si="289">-LOG(AE2885/100)</f>
        <v>6.2286569044188493E-2</v>
      </c>
      <c r="AG2885">
        <f>LARGE(AF2885:AF3005,4)</f>
        <v>0.10818388047513947</v>
      </c>
      <c r="AH2885" t="s">
        <v>346</v>
      </c>
    </row>
    <row r="2886" spans="30:34">
      <c r="AD2886" s="50">
        <v>391.9</v>
      </c>
      <c r="AE2886" s="51">
        <v>86.495000000000005</v>
      </c>
      <c r="AF2886" s="52">
        <f t="shared" si="289"/>
        <v>6.3008996988032639E-2</v>
      </c>
    </row>
    <row r="2887" spans="30:34">
      <c r="AD2887" s="50">
        <v>391.8</v>
      </c>
      <c r="AE2887" s="51">
        <v>86.369</v>
      </c>
      <c r="AF2887" s="52">
        <f t="shared" si="289"/>
        <v>6.364210873380674E-2</v>
      </c>
    </row>
    <row r="2888" spans="30:34">
      <c r="AD2888" s="50">
        <v>391.7</v>
      </c>
      <c r="AE2888" s="51">
        <v>86.251000000000005</v>
      </c>
      <c r="AF2888" s="52">
        <f t="shared" si="289"/>
        <v>6.4235860985537269E-2</v>
      </c>
    </row>
    <row r="2889" spans="30:34">
      <c r="AD2889" s="50">
        <v>391.6</v>
      </c>
      <c r="AE2889" s="51">
        <v>86.186999999999998</v>
      </c>
      <c r="AF2889" s="52">
        <f t="shared" si="289"/>
        <v>6.4558235962260041E-2</v>
      </c>
    </row>
    <row r="2890" spans="30:34">
      <c r="AD2890" s="50">
        <v>391.5</v>
      </c>
      <c r="AE2890" s="51">
        <v>86.103999999999999</v>
      </c>
      <c r="AF2890" s="52">
        <f t="shared" si="289"/>
        <v>6.4976672732450946E-2</v>
      </c>
    </row>
    <row r="2891" spans="30:34">
      <c r="AD2891" s="50">
        <v>391.4</v>
      </c>
      <c r="AE2891" s="51">
        <v>86.015000000000001</v>
      </c>
      <c r="AF2891" s="52">
        <f t="shared" si="289"/>
        <v>6.5425806324143701E-2</v>
      </c>
    </row>
    <row r="2892" spans="30:34">
      <c r="AD2892" s="50">
        <v>391.3</v>
      </c>
      <c r="AE2892" s="51">
        <v>85.900999999999996</v>
      </c>
      <c r="AF2892" s="52">
        <f t="shared" si="289"/>
        <v>6.600178038349562E-2</v>
      </c>
    </row>
    <row r="2893" spans="30:34">
      <c r="AD2893" s="50">
        <v>391.2</v>
      </c>
      <c r="AE2893" s="51">
        <v>85.828000000000003</v>
      </c>
      <c r="AF2893" s="52">
        <f t="shared" si="289"/>
        <v>6.6371007469061147E-2</v>
      </c>
    </row>
    <row r="2894" spans="30:34">
      <c r="AD2894" s="50">
        <v>391.1</v>
      </c>
      <c r="AE2894" s="51">
        <v>85.784000000000006</v>
      </c>
      <c r="AF2894" s="52">
        <f t="shared" si="289"/>
        <v>6.6593707019470968E-2</v>
      </c>
    </row>
    <row r="2895" spans="30:34">
      <c r="AD2895" s="50">
        <v>391</v>
      </c>
      <c r="AE2895" s="51">
        <v>85.722999999999999</v>
      </c>
      <c r="AF2895" s="52">
        <f t="shared" si="289"/>
        <v>6.6902638602592296E-2</v>
      </c>
    </row>
    <row r="2896" spans="30:34">
      <c r="AD2896" s="50">
        <v>390.9</v>
      </c>
      <c r="AE2896" s="51">
        <v>85.796000000000006</v>
      </c>
      <c r="AF2896" s="52">
        <f t="shared" si="289"/>
        <v>6.6532959452256416E-2</v>
      </c>
    </row>
    <row r="2897" spans="30:32">
      <c r="AD2897" s="50">
        <v>390.8</v>
      </c>
      <c r="AE2897" s="51">
        <v>85.79</v>
      </c>
      <c r="AF2897" s="52">
        <f t="shared" si="289"/>
        <v>6.6563332173719458E-2</v>
      </c>
    </row>
    <row r="2898" spans="30:32">
      <c r="AD2898" s="50">
        <v>390.7</v>
      </c>
      <c r="AE2898" s="51">
        <v>85.751999999999995</v>
      </c>
      <c r="AF2898" s="52">
        <f t="shared" si="289"/>
        <v>6.6755742085954056E-2</v>
      </c>
    </row>
    <row r="2899" spans="30:32">
      <c r="AD2899" s="50">
        <v>390.6</v>
      </c>
      <c r="AE2899" s="51">
        <v>85.796999999999997</v>
      </c>
      <c r="AF2899" s="52">
        <f t="shared" si="289"/>
        <v>6.6527897538519759E-2</v>
      </c>
    </row>
    <row r="2900" spans="30:32">
      <c r="AD2900" s="50">
        <v>390.5</v>
      </c>
      <c r="AE2900" s="51">
        <v>85.819000000000003</v>
      </c>
      <c r="AF2900" s="52">
        <f t="shared" si="289"/>
        <v>6.641655036046866E-2</v>
      </c>
    </row>
    <row r="2901" spans="30:32">
      <c r="AD2901" s="50">
        <v>390.4</v>
      </c>
      <c r="AE2901" s="51">
        <v>85.838999999999999</v>
      </c>
      <c r="AF2901" s="52">
        <f t="shared" si="289"/>
        <v>6.6315350420152838E-2</v>
      </c>
    </row>
    <row r="2902" spans="30:32">
      <c r="AD2902" s="50">
        <v>390.3</v>
      </c>
      <c r="AE2902" s="51">
        <v>85.917000000000002</v>
      </c>
      <c r="AF2902" s="52">
        <f t="shared" si="289"/>
        <v>6.592089582273318E-2</v>
      </c>
    </row>
    <row r="2903" spans="30:32">
      <c r="AD2903" s="50">
        <v>390.2</v>
      </c>
      <c r="AE2903" s="51">
        <v>85.918000000000006</v>
      </c>
      <c r="AF2903" s="52">
        <f t="shared" si="289"/>
        <v>6.5915841037830089E-2</v>
      </c>
    </row>
    <row r="2904" spans="30:32">
      <c r="AD2904" s="50">
        <v>390.1</v>
      </c>
      <c r="AE2904" s="51">
        <v>86.085999999999999</v>
      </c>
      <c r="AF2904" s="52">
        <f t="shared" si="289"/>
        <v>6.5067471277113653E-2</v>
      </c>
    </row>
    <row r="2905" spans="30:32">
      <c r="AD2905" s="50">
        <v>390</v>
      </c>
      <c r="AE2905" s="51">
        <v>86.16</v>
      </c>
      <c r="AF2905" s="52">
        <f t="shared" si="289"/>
        <v>6.4694309710074865E-2</v>
      </c>
    </row>
    <row r="2906" spans="30:32">
      <c r="AD2906" s="50">
        <v>389.9</v>
      </c>
      <c r="AE2906" s="51">
        <v>86.245999999999995</v>
      </c>
      <c r="AF2906" s="52">
        <f t="shared" si="289"/>
        <v>6.4261037915108496E-2</v>
      </c>
    </row>
    <row r="2907" spans="30:32">
      <c r="AD2907" s="50">
        <v>389.8</v>
      </c>
      <c r="AE2907" s="51">
        <v>86.4</v>
      </c>
      <c r="AF2907" s="52">
        <f t="shared" si="289"/>
        <v>6.3486257521106662E-2</v>
      </c>
    </row>
    <row r="2908" spans="30:32">
      <c r="AD2908" s="50">
        <v>389.7</v>
      </c>
      <c r="AE2908" s="51">
        <v>86.418000000000006</v>
      </c>
      <c r="AF2908" s="52">
        <f t="shared" si="289"/>
        <v>6.339578892752816E-2</v>
      </c>
    </row>
    <row r="2909" spans="30:32">
      <c r="AD2909" s="50">
        <v>389.6</v>
      </c>
      <c r="AE2909" s="51">
        <v>86.558999999999997</v>
      </c>
      <c r="AF2909" s="52">
        <f t="shared" si="289"/>
        <v>6.2687769531758974E-2</v>
      </c>
    </row>
    <row r="2910" spans="30:32">
      <c r="AD2910" s="50">
        <v>389.5</v>
      </c>
      <c r="AE2910" s="51">
        <v>86.692999999999998</v>
      </c>
      <c r="AF2910" s="52">
        <f t="shared" si="289"/>
        <v>6.2015968084394517E-2</v>
      </c>
    </row>
    <row r="2911" spans="30:32">
      <c r="AD2911" s="50">
        <v>389.4</v>
      </c>
      <c r="AE2911" s="51">
        <v>86.677000000000007</v>
      </c>
      <c r="AF2911" s="52">
        <f t="shared" si="289"/>
        <v>6.2096128570409137E-2</v>
      </c>
    </row>
    <row r="2912" spans="30:32">
      <c r="AD2912" s="50">
        <v>389.3</v>
      </c>
      <c r="AE2912" s="51">
        <v>86.739000000000004</v>
      </c>
      <c r="AF2912" s="52">
        <f t="shared" si="289"/>
        <v>6.1785589069725762E-2</v>
      </c>
    </row>
    <row r="2913" spans="30:32">
      <c r="AD2913" s="50">
        <v>389.2</v>
      </c>
      <c r="AE2913" s="51">
        <v>86.704999999999998</v>
      </c>
      <c r="AF2913" s="52">
        <f t="shared" si="289"/>
        <v>6.1955857428087534E-2</v>
      </c>
    </row>
    <row r="2914" spans="30:32">
      <c r="AD2914" s="50">
        <v>389.1</v>
      </c>
      <c r="AE2914" s="51">
        <v>86.656999999999996</v>
      </c>
      <c r="AF2914" s="52">
        <f t="shared" si="289"/>
        <v>6.2196349988903089E-2</v>
      </c>
    </row>
    <row r="2915" spans="30:32">
      <c r="AD2915" s="50">
        <v>389</v>
      </c>
      <c r="AE2915" s="51">
        <v>86.625</v>
      </c>
      <c r="AF2915" s="52">
        <f t="shared" si="289"/>
        <v>6.2356752380136854E-2</v>
      </c>
    </row>
    <row r="2916" spans="30:32">
      <c r="AD2916" s="50">
        <v>388.9</v>
      </c>
      <c r="AE2916" s="51">
        <v>86.576999999999998</v>
      </c>
      <c r="AF2916" s="52">
        <f t="shared" si="289"/>
        <v>6.2597467102426876E-2</v>
      </c>
    </row>
    <row r="2917" spans="30:32">
      <c r="AD2917" s="50">
        <v>388.8</v>
      </c>
      <c r="AE2917" s="51">
        <v>86.466999999999999</v>
      </c>
      <c r="AF2917" s="52">
        <f t="shared" si="289"/>
        <v>6.3149608747835609E-2</v>
      </c>
    </row>
    <row r="2918" spans="30:32">
      <c r="AD2918" s="50">
        <v>388.7</v>
      </c>
      <c r="AE2918" s="51">
        <v>86.338999999999999</v>
      </c>
      <c r="AF2918" s="52">
        <f t="shared" si="289"/>
        <v>6.3792985758474224E-2</v>
      </c>
    </row>
    <row r="2919" spans="30:32">
      <c r="AD2919" s="50">
        <v>388.6</v>
      </c>
      <c r="AE2919" s="51">
        <v>86.147000000000006</v>
      </c>
      <c r="AF2919" s="52">
        <f t="shared" si="289"/>
        <v>6.4759841908713908E-2</v>
      </c>
    </row>
    <row r="2920" spans="30:32">
      <c r="AD2920" s="50">
        <v>388.5</v>
      </c>
      <c r="AE2920" s="51">
        <v>85.944000000000003</v>
      </c>
      <c r="AF2920" s="52">
        <f t="shared" si="289"/>
        <v>6.5784437276491053E-2</v>
      </c>
    </row>
    <row r="2921" spans="30:32">
      <c r="AD2921" s="50">
        <v>388.4</v>
      </c>
      <c r="AE2921" s="51">
        <v>85.733999999999995</v>
      </c>
      <c r="AF2921" s="52">
        <f t="shared" si="289"/>
        <v>6.6846913385103457E-2</v>
      </c>
    </row>
    <row r="2922" spans="30:32">
      <c r="AD2922" s="50">
        <v>388.3</v>
      </c>
      <c r="AE2922" s="51">
        <v>85.471000000000004</v>
      </c>
      <c r="AF2922" s="52">
        <f t="shared" si="289"/>
        <v>6.8181214820066255E-2</v>
      </c>
    </row>
    <row r="2923" spans="30:32">
      <c r="AD2923" s="50">
        <v>388.2</v>
      </c>
      <c r="AE2923" s="51">
        <v>85.221999999999994</v>
      </c>
      <c r="AF2923" s="52">
        <f t="shared" si="289"/>
        <v>6.9448277941577638E-2</v>
      </c>
    </row>
    <row r="2924" spans="30:32">
      <c r="AD2924" s="50">
        <v>388.1</v>
      </c>
      <c r="AE2924" s="51">
        <v>84.923000000000002</v>
      </c>
      <c r="AF2924" s="52">
        <f t="shared" si="289"/>
        <v>7.0974672296517702E-2</v>
      </c>
    </row>
    <row r="2925" spans="30:32">
      <c r="AD2925" s="50">
        <v>388</v>
      </c>
      <c r="AE2925" s="51">
        <v>84.534000000000006</v>
      </c>
      <c r="AF2925" s="52">
        <f t="shared" si="289"/>
        <v>7.2968580488126655E-2</v>
      </c>
    </row>
    <row r="2926" spans="30:32">
      <c r="AD2926" s="50">
        <v>387.9</v>
      </c>
      <c r="AE2926" s="51">
        <v>84.117000000000004</v>
      </c>
      <c r="AF2926" s="52">
        <f t="shared" si="289"/>
        <v>7.5116224652844968E-2</v>
      </c>
    </row>
    <row r="2927" spans="30:32">
      <c r="AD2927" s="50">
        <v>387.8</v>
      </c>
      <c r="AE2927" s="51">
        <v>83.768000000000001</v>
      </c>
      <c r="AF2927" s="52">
        <f t="shared" si="289"/>
        <v>7.6921853416771185E-2</v>
      </c>
    </row>
    <row r="2928" spans="30:32">
      <c r="AD2928" s="50">
        <v>387.7</v>
      </c>
      <c r="AE2928" s="51">
        <v>83.411000000000001</v>
      </c>
      <c r="AF2928" s="52">
        <f t="shared" si="289"/>
        <v>7.8776672092682409E-2</v>
      </c>
    </row>
    <row r="2929" spans="30:32">
      <c r="AD2929" s="50">
        <v>387.6</v>
      </c>
      <c r="AE2929" s="51">
        <v>83.001999999999995</v>
      </c>
      <c r="AF2929" s="52">
        <f t="shared" si="289"/>
        <v>8.0911442822732771E-2</v>
      </c>
    </row>
    <row r="2930" spans="30:32">
      <c r="AD2930" s="50">
        <v>387.5</v>
      </c>
      <c r="AE2930" s="51">
        <v>82.534000000000006</v>
      </c>
      <c r="AF2930" s="52">
        <f t="shared" si="289"/>
        <v>8.3367106352778345E-2</v>
      </c>
    </row>
    <row r="2931" spans="30:32">
      <c r="AD2931" s="50">
        <v>387.4</v>
      </c>
      <c r="AE2931" s="51">
        <v>82.197000000000003</v>
      </c>
      <c r="AF2931" s="52">
        <f t="shared" si="289"/>
        <v>8.5144032912766315E-2</v>
      </c>
    </row>
    <row r="2932" spans="30:32">
      <c r="AD2932" s="50">
        <v>387.3</v>
      </c>
      <c r="AE2932" s="51">
        <v>81.685000000000002</v>
      </c>
      <c r="AF2932" s="52">
        <f t="shared" si="289"/>
        <v>8.7857686617161868E-2</v>
      </c>
    </row>
    <row r="2933" spans="30:32">
      <c r="AD2933" s="50">
        <v>387.2</v>
      </c>
      <c r="AE2933" s="51">
        <v>81.3</v>
      </c>
      <c r="AF2933" s="52">
        <f t="shared" si="289"/>
        <v>8.9909454405931857E-2</v>
      </c>
    </row>
    <row r="2934" spans="30:32">
      <c r="AD2934" s="50">
        <v>387.1</v>
      </c>
      <c r="AE2934" s="51">
        <v>80.878</v>
      </c>
      <c r="AF2934" s="52">
        <f t="shared" si="289"/>
        <v>9.2169596780349264E-2</v>
      </c>
    </row>
    <row r="2935" spans="30:32">
      <c r="AD2935" s="50">
        <v>387</v>
      </c>
      <c r="AE2935" s="51">
        <v>80.540000000000006</v>
      </c>
      <c r="AF2935" s="52">
        <f t="shared" si="289"/>
        <v>9.3988374728587176E-2</v>
      </c>
    </row>
    <row r="2936" spans="30:32">
      <c r="AD2936" s="50">
        <v>386.9</v>
      </c>
      <c r="AE2936" s="51">
        <v>80.12</v>
      </c>
      <c r="AF2936" s="52">
        <f t="shared" si="289"/>
        <v>9.6259059378461367E-2</v>
      </c>
    </row>
    <row r="2937" spans="30:32">
      <c r="AD2937" s="50">
        <v>386.8</v>
      </c>
      <c r="AE2937" s="51">
        <v>79.793999999999997</v>
      </c>
      <c r="AF2937" s="52">
        <f t="shared" si="289"/>
        <v>9.8029763597359446E-2</v>
      </c>
    </row>
    <row r="2938" spans="30:32">
      <c r="AD2938" s="50">
        <v>386.7</v>
      </c>
      <c r="AE2938" s="51">
        <v>79.438999999999993</v>
      </c>
      <c r="AF2938" s="52">
        <f t="shared" si="289"/>
        <v>9.9966231496756361E-2</v>
      </c>
    </row>
    <row r="2939" spans="30:32">
      <c r="AD2939" s="50">
        <v>386.6</v>
      </c>
      <c r="AE2939" s="51">
        <v>79.102999999999994</v>
      </c>
      <c r="AF2939" s="52">
        <f t="shared" si="289"/>
        <v>0.10180704546895668</v>
      </c>
    </row>
    <row r="2940" spans="30:32">
      <c r="AD2940" s="50">
        <v>386.5</v>
      </c>
      <c r="AE2940" s="51">
        <v>78.816000000000003</v>
      </c>
      <c r="AF2940" s="52">
        <f t="shared" si="289"/>
        <v>0.10338560984099084</v>
      </c>
    </row>
    <row r="2941" spans="30:32">
      <c r="AD2941" s="50">
        <v>386.4</v>
      </c>
      <c r="AE2941" s="51">
        <v>78.546999999999997</v>
      </c>
      <c r="AF2941" s="52">
        <f t="shared" si="289"/>
        <v>0.10487039761734152</v>
      </c>
    </row>
    <row r="2942" spans="30:32">
      <c r="AD2942" s="50">
        <v>386.3</v>
      </c>
      <c r="AE2942" s="51">
        <v>78.34</v>
      </c>
      <c r="AF2942" s="52">
        <f t="shared" si="289"/>
        <v>0.10601643278815294</v>
      </c>
    </row>
    <row r="2943" spans="30:32">
      <c r="AD2943" s="50">
        <v>386.2</v>
      </c>
      <c r="AE2943" s="51">
        <v>78.171999999999997</v>
      </c>
      <c r="AF2943" s="52">
        <f t="shared" si="289"/>
        <v>0.10694877664653492</v>
      </c>
    </row>
    <row r="2944" spans="30:32">
      <c r="AD2944" s="50">
        <v>386.1</v>
      </c>
      <c r="AE2944" s="51">
        <v>78.015000000000001</v>
      </c>
      <c r="AF2944" s="52">
        <f t="shared" si="289"/>
        <v>0.10782188716948662</v>
      </c>
    </row>
    <row r="2945" spans="30:32">
      <c r="AD2945" s="50">
        <v>386</v>
      </c>
      <c r="AE2945" s="51">
        <v>77.914000000000001</v>
      </c>
      <c r="AF2945" s="52">
        <f t="shared" si="289"/>
        <v>0.10838449898392329</v>
      </c>
    </row>
    <row r="2946" spans="30:32">
      <c r="AD2946" s="50">
        <v>385.9</v>
      </c>
      <c r="AE2946" s="51">
        <v>77.843000000000004</v>
      </c>
      <c r="AF2946" s="52">
        <f t="shared" si="289"/>
        <v>0.10878043509402868</v>
      </c>
    </row>
    <row r="2947" spans="30:32">
      <c r="AD2947" s="50">
        <v>385.8</v>
      </c>
      <c r="AE2947" s="51">
        <v>77.847999999999999</v>
      </c>
      <c r="AF2947" s="52">
        <f t="shared" si="289"/>
        <v>0.10875254045130357</v>
      </c>
    </row>
    <row r="2948" spans="30:32">
      <c r="AD2948" s="50">
        <v>385.7</v>
      </c>
      <c r="AE2948" s="51">
        <v>77.95</v>
      </c>
      <c r="AF2948" s="52">
        <f t="shared" si="289"/>
        <v>0.10818388047513947</v>
      </c>
    </row>
    <row r="2949" spans="30:32">
      <c r="AD2949" s="50">
        <v>385.6</v>
      </c>
      <c r="AE2949" s="51">
        <v>78.128</v>
      </c>
      <c r="AF2949" s="52">
        <f t="shared" ref="AF2949:AF3012" si="290">-LOG(AE2949/100)</f>
        <v>0.10719329305995173</v>
      </c>
    </row>
    <row r="2950" spans="30:32">
      <c r="AD2950" s="50">
        <v>385.5</v>
      </c>
      <c r="AE2950" s="51">
        <v>78.391999999999996</v>
      </c>
      <c r="AF2950" s="52">
        <f t="shared" si="290"/>
        <v>0.10572825534018326</v>
      </c>
    </row>
    <row r="2951" spans="30:32">
      <c r="AD2951" s="50">
        <v>385.4</v>
      </c>
      <c r="AE2951" s="51">
        <v>78.534000000000006</v>
      </c>
      <c r="AF2951" s="52">
        <f t="shared" si="290"/>
        <v>0.10494228190987379</v>
      </c>
    </row>
    <row r="2952" spans="30:32">
      <c r="AD2952" s="50">
        <v>385.3</v>
      </c>
      <c r="AE2952" s="51">
        <v>78.814999999999998</v>
      </c>
      <c r="AF2952" s="52">
        <f t="shared" si="290"/>
        <v>0.10339112010841167</v>
      </c>
    </row>
    <row r="2953" spans="30:32">
      <c r="AD2953" s="50">
        <v>385.2</v>
      </c>
      <c r="AE2953" s="51">
        <v>79.13</v>
      </c>
      <c r="AF2953" s="52">
        <f t="shared" si="290"/>
        <v>0.10165883427249074</v>
      </c>
    </row>
    <row r="2954" spans="30:32">
      <c r="AD2954" s="50">
        <v>385.1</v>
      </c>
      <c r="AE2954" s="51">
        <v>79.566000000000003</v>
      </c>
      <c r="AF2954" s="52">
        <f t="shared" si="290"/>
        <v>9.927247455916953E-2</v>
      </c>
    </row>
    <row r="2955" spans="30:32">
      <c r="AD2955" s="50">
        <v>385</v>
      </c>
      <c r="AE2955" s="51">
        <v>80.042000000000002</v>
      </c>
      <c r="AF2955" s="52">
        <f t="shared" si="290"/>
        <v>9.668206823532581E-2</v>
      </c>
    </row>
    <row r="2956" spans="30:32">
      <c r="AD2956" s="50">
        <v>384.9</v>
      </c>
      <c r="AE2956" s="51">
        <v>80.463999999999999</v>
      </c>
      <c r="AF2956" s="52">
        <f t="shared" si="290"/>
        <v>9.43983817231481E-2</v>
      </c>
    </row>
    <row r="2957" spans="30:32">
      <c r="AD2957" s="50">
        <v>384.8</v>
      </c>
      <c r="AE2957" s="51">
        <v>80.957999999999998</v>
      </c>
      <c r="AF2957" s="52">
        <f t="shared" si="290"/>
        <v>9.1740229255419914E-2</v>
      </c>
    </row>
    <row r="2958" spans="30:32">
      <c r="AD2958" s="50">
        <v>384.7</v>
      </c>
      <c r="AE2958" s="51">
        <v>81.424999999999997</v>
      </c>
      <c r="AF2958" s="52">
        <f t="shared" si="290"/>
        <v>8.9242232763089319E-2</v>
      </c>
    </row>
    <row r="2959" spans="30:32">
      <c r="AD2959" s="50">
        <v>384.6</v>
      </c>
      <c r="AE2959" s="51">
        <v>81.870999999999995</v>
      </c>
      <c r="AF2959" s="52">
        <f t="shared" si="290"/>
        <v>8.6869904958803312E-2</v>
      </c>
    </row>
    <row r="2960" spans="30:32">
      <c r="AD2960" s="50">
        <v>384.5</v>
      </c>
      <c r="AE2960" s="51">
        <v>82.278999999999996</v>
      </c>
      <c r="AF2960" s="52">
        <f t="shared" si="290"/>
        <v>8.4710995260262725E-2</v>
      </c>
    </row>
    <row r="2961" spans="30:32">
      <c r="AD2961" s="50">
        <v>384.4</v>
      </c>
      <c r="AE2961" s="51">
        <v>82.710999999999999</v>
      </c>
      <c r="AF2961" s="52">
        <f t="shared" si="290"/>
        <v>8.2436728396465445E-2</v>
      </c>
    </row>
    <row r="2962" spans="30:32">
      <c r="AD2962" s="50">
        <v>384.3</v>
      </c>
      <c r="AE2962" s="51">
        <v>83.129000000000005</v>
      </c>
      <c r="AF2962" s="52">
        <f t="shared" si="290"/>
        <v>8.0247443810556943E-2</v>
      </c>
    </row>
    <row r="2963" spans="30:32">
      <c r="AD2963" s="50">
        <v>384.2</v>
      </c>
      <c r="AE2963" s="51">
        <v>83.45</v>
      </c>
      <c r="AF2963" s="52">
        <f t="shared" si="290"/>
        <v>7.8573658984734479E-2</v>
      </c>
    </row>
    <row r="2964" spans="30:32">
      <c r="AD2964" s="50">
        <v>384.1</v>
      </c>
      <c r="AE2964" s="51">
        <v>83.736999999999995</v>
      </c>
      <c r="AF2964" s="52">
        <f t="shared" si="290"/>
        <v>7.7082602398505576E-2</v>
      </c>
    </row>
    <row r="2965" spans="30:32">
      <c r="AD2965" s="50">
        <v>384</v>
      </c>
      <c r="AE2965" s="51">
        <v>83.977999999999994</v>
      </c>
      <c r="AF2965" s="52">
        <f t="shared" si="290"/>
        <v>7.5834472628619504E-2</v>
      </c>
    </row>
    <row r="2966" spans="30:32">
      <c r="AD2966" s="50">
        <v>383.9</v>
      </c>
      <c r="AE2966" s="51">
        <v>84.108000000000004</v>
      </c>
      <c r="AF2966" s="52">
        <f t="shared" si="290"/>
        <v>7.516269396883081E-2</v>
      </c>
    </row>
    <row r="2967" spans="30:32">
      <c r="AD2967" s="50">
        <v>383.8</v>
      </c>
      <c r="AE2967" s="51">
        <v>84.185000000000002</v>
      </c>
      <c r="AF2967" s="52">
        <f t="shared" si="290"/>
        <v>7.4765283768287435E-2</v>
      </c>
    </row>
    <row r="2968" spans="30:32">
      <c r="AD2968" s="50">
        <v>383.7</v>
      </c>
      <c r="AE2968" s="51">
        <v>84.325999999999993</v>
      </c>
      <c r="AF2968" s="52">
        <f t="shared" si="290"/>
        <v>7.4038499923441678E-2</v>
      </c>
    </row>
    <row r="2969" spans="30:32">
      <c r="AD2969" s="50">
        <v>383.6</v>
      </c>
      <c r="AE2969" s="51">
        <v>84.385999999999996</v>
      </c>
      <c r="AF2969" s="52">
        <f t="shared" si="290"/>
        <v>7.3729598718871053E-2</v>
      </c>
    </row>
    <row r="2970" spans="30:32">
      <c r="AD2970" s="50">
        <v>383.5</v>
      </c>
      <c r="AE2970" s="51">
        <v>84.36</v>
      </c>
      <c r="AF2970" s="52">
        <f t="shared" si="290"/>
        <v>7.3863428932551212E-2</v>
      </c>
    </row>
    <row r="2971" spans="30:32">
      <c r="AD2971" s="50">
        <v>383.4</v>
      </c>
      <c r="AE2971" s="51">
        <v>84.245999999999995</v>
      </c>
      <c r="AF2971" s="52">
        <f t="shared" si="290"/>
        <v>7.4450710268701675E-2</v>
      </c>
    </row>
    <row r="2972" spans="30:32">
      <c r="AD2972" s="50">
        <v>383.3</v>
      </c>
      <c r="AE2972" s="51">
        <v>84.138000000000005</v>
      </c>
      <c r="AF2972" s="52">
        <f t="shared" si="290"/>
        <v>7.5007815581289022E-2</v>
      </c>
    </row>
    <row r="2973" spans="30:32">
      <c r="AD2973" s="50">
        <v>383.2</v>
      </c>
      <c r="AE2973" s="51">
        <v>83.822999999999993</v>
      </c>
      <c r="AF2973" s="52">
        <f t="shared" si="290"/>
        <v>7.6636799954924117E-2</v>
      </c>
    </row>
    <row r="2974" spans="30:32">
      <c r="AD2974" s="50">
        <v>383.1</v>
      </c>
      <c r="AE2974" s="51">
        <v>83.557000000000002</v>
      </c>
      <c r="AF2974" s="52">
        <f t="shared" si="290"/>
        <v>7.801716116222393E-2</v>
      </c>
    </row>
    <row r="2975" spans="30:32">
      <c r="AD2975" s="50">
        <v>383</v>
      </c>
      <c r="AE2975" s="51">
        <v>83.28</v>
      </c>
      <c r="AF2975" s="52">
        <f t="shared" si="290"/>
        <v>7.9459283497520267E-2</v>
      </c>
    </row>
    <row r="2976" spans="30:32">
      <c r="AD2976" s="50">
        <v>382.9</v>
      </c>
      <c r="AE2976" s="51">
        <v>82.95</v>
      </c>
      <c r="AF2976" s="52">
        <f t="shared" si="290"/>
        <v>8.1183609639620485E-2</v>
      </c>
    </row>
    <row r="2977" spans="30:32">
      <c r="AD2977" s="50">
        <v>382.8</v>
      </c>
      <c r="AE2977" s="51">
        <v>82.632000000000005</v>
      </c>
      <c r="AF2977" s="52">
        <f t="shared" si="290"/>
        <v>8.2851735583720429E-2</v>
      </c>
    </row>
    <row r="2978" spans="30:32">
      <c r="AD2978" s="50">
        <v>382.7</v>
      </c>
      <c r="AE2978" s="51">
        <v>82.165000000000006</v>
      </c>
      <c r="AF2978" s="52">
        <f t="shared" si="290"/>
        <v>8.5313140414457617E-2</v>
      </c>
    </row>
    <row r="2979" spans="30:32">
      <c r="AD2979" s="50">
        <v>382.6</v>
      </c>
      <c r="AE2979" s="51">
        <v>81.745999999999995</v>
      </c>
      <c r="AF2979" s="52">
        <f t="shared" si="290"/>
        <v>8.7533489070474688E-2</v>
      </c>
    </row>
    <row r="2980" spans="30:32">
      <c r="AD2980" s="50">
        <v>382.5</v>
      </c>
      <c r="AE2980" s="51">
        <v>81.364999999999995</v>
      </c>
      <c r="AF2980" s="52">
        <f t="shared" si="290"/>
        <v>8.956237122483926E-2</v>
      </c>
    </row>
    <row r="2981" spans="30:32">
      <c r="AD2981" s="50">
        <v>382.4</v>
      </c>
      <c r="AE2981" s="51">
        <v>80.92</v>
      </c>
      <c r="AF2981" s="52">
        <f t="shared" si="290"/>
        <v>9.1944125901232909E-2</v>
      </c>
    </row>
    <row r="2982" spans="30:32">
      <c r="AD2982" s="50">
        <v>382.3</v>
      </c>
      <c r="AE2982" s="51">
        <v>80.537000000000006</v>
      </c>
      <c r="AF2982" s="52">
        <f t="shared" si="290"/>
        <v>9.4004551879215317E-2</v>
      </c>
    </row>
    <row r="2983" spans="30:32">
      <c r="AD2983" s="50">
        <v>382.2</v>
      </c>
      <c r="AE2983" s="51">
        <v>80.198999999999998</v>
      </c>
      <c r="AF2983" s="52">
        <f t="shared" si="290"/>
        <v>9.5831046892762908E-2</v>
      </c>
    </row>
    <row r="2984" spans="30:32">
      <c r="AD2984" s="50">
        <v>382.1</v>
      </c>
      <c r="AE2984" s="51">
        <v>79.875</v>
      </c>
      <c r="AF2984" s="52">
        <f t="shared" si="290"/>
        <v>9.758912883354344E-2</v>
      </c>
    </row>
    <row r="2985" spans="30:32">
      <c r="AD2985" s="50">
        <v>382</v>
      </c>
      <c r="AE2985" s="51">
        <v>79.569999999999993</v>
      </c>
      <c r="AF2985" s="52">
        <f t="shared" si="290"/>
        <v>9.9250641938920484E-2</v>
      </c>
    </row>
    <row r="2986" spans="30:32">
      <c r="AD2986" s="50">
        <v>381.9</v>
      </c>
      <c r="AE2986" s="51">
        <v>79.322000000000003</v>
      </c>
      <c r="AF2986" s="52">
        <f t="shared" si="290"/>
        <v>0.10060634416399224</v>
      </c>
    </row>
    <row r="2987" spans="30:32">
      <c r="AD2987" s="50">
        <v>381.8</v>
      </c>
      <c r="AE2987" s="51">
        <v>79.197000000000003</v>
      </c>
      <c r="AF2987" s="52">
        <f t="shared" si="290"/>
        <v>0.1012912692706347</v>
      </c>
    </row>
    <row r="2988" spans="30:32">
      <c r="AD2988" s="50">
        <v>381.7</v>
      </c>
      <c r="AE2988" s="51">
        <v>79.191999999999993</v>
      </c>
      <c r="AF2988" s="52">
        <f t="shared" si="290"/>
        <v>0.101318688755703</v>
      </c>
    </row>
    <row r="2989" spans="30:32">
      <c r="AD2989" s="50">
        <v>381.6</v>
      </c>
      <c r="AE2989" s="51">
        <v>79.284000000000006</v>
      </c>
      <c r="AF2989" s="52">
        <f t="shared" si="290"/>
        <v>0.10081444714405721</v>
      </c>
    </row>
    <row r="2990" spans="30:32">
      <c r="AD2990" s="50">
        <v>381.5</v>
      </c>
      <c r="AE2990" s="51">
        <v>79.412999999999997</v>
      </c>
      <c r="AF2990" s="52">
        <f t="shared" si="290"/>
        <v>0.10010839724387081</v>
      </c>
    </row>
    <row r="2991" spans="30:32">
      <c r="AD2991" s="50">
        <v>381.4</v>
      </c>
      <c r="AE2991" s="51">
        <v>79.644000000000005</v>
      </c>
      <c r="AF2991" s="52">
        <f t="shared" si="290"/>
        <v>9.884693631033234E-2</v>
      </c>
    </row>
    <row r="2992" spans="30:32">
      <c r="AD2992" s="50">
        <v>381.3</v>
      </c>
      <c r="AE2992" s="51">
        <v>79.947999999999993</v>
      </c>
      <c r="AF2992" s="52">
        <f t="shared" si="290"/>
        <v>9.7192396205778284E-2</v>
      </c>
    </row>
    <row r="2993" spans="30:32">
      <c r="AD2993" s="50">
        <v>381.2</v>
      </c>
      <c r="AE2993" s="51">
        <v>80.308000000000007</v>
      </c>
      <c r="AF2993" s="52">
        <f t="shared" si="290"/>
        <v>9.5241189680248875E-2</v>
      </c>
    </row>
    <row r="2994" spans="30:32">
      <c r="AD2994" s="50">
        <v>381.1</v>
      </c>
      <c r="AE2994" s="51">
        <v>80.765000000000001</v>
      </c>
      <c r="AF2994" s="52">
        <f t="shared" si="290"/>
        <v>9.2776802591296212E-2</v>
      </c>
    </row>
    <row r="2995" spans="30:32">
      <c r="AD2995" s="50">
        <v>381</v>
      </c>
      <c r="AE2995" s="51">
        <v>81.28</v>
      </c>
      <c r="AF2995" s="52">
        <f t="shared" si="290"/>
        <v>9.0016305060155982E-2</v>
      </c>
    </row>
    <row r="2996" spans="30:32">
      <c r="AD2996" s="50">
        <v>380.9</v>
      </c>
      <c r="AE2996" s="51">
        <v>81.81</v>
      </c>
      <c r="AF2996" s="52">
        <f t="shared" si="290"/>
        <v>8.7193607338707652E-2</v>
      </c>
    </row>
    <row r="2997" spans="30:32">
      <c r="AD2997" s="50">
        <v>380.8</v>
      </c>
      <c r="AE2997" s="51">
        <v>82.308000000000007</v>
      </c>
      <c r="AF2997" s="52">
        <f t="shared" si="290"/>
        <v>8.4557951093888264E-2</v>
      </c>
    </row>
    <row r="2998" spans="30:32">
      <c r="AD2998" s="50">
        <v>380.7</v>
      </c>
      <c r="AE2998" s="51">
        <v>82.838999999999999</v>
      </c>
      <c r="AF2998" s="52">
        <f t="shared" si="290"/>
        <v>8.1765152380024061E-2</v>
      </c>
    </row>
    <row r="2999" spans="30:32">
      <c r="AD2999" s="50">
        <v>380.6</v>
      </c>
      <c r="AE2999" s="51">
        <v>83.355999999999995</v>
      </c>
      <c r="AF2999" s="52">
        <f t="shared" si="290"/>
        <v>7.9063134011056038E-2</v>
      </c>
    </row>
    <row r="3000" spans="30:32">
      <c r="AD3000" s="50">
        <v>380.5</v>
      </c>
      <c r="AE3000" s="51">
        <v>83.852000000000004</v>
      </c>
      <c r="AF3000" s="52">
        <f t="shared" si="290"/>
        <v>7.648657433869295E-2</v>
      </c>
    </row>
    <row r="3001" spans="30:32">
      <c r="AD3001" s="50">
        <v>380.4</v>
      </c>
      <c r="AE3001" s="51">
        <v>84.338999999999999</v>
      </c>
      <c r="AF3001" s="52">
        <f t="shared" si="290"/>
        <v>7.397155268156072E-2</v>
      </c>
    </row>
    <row r="3002" spans="30:32">
      <c r="AD3002" s="50">
        <v>380.3</v>
      </c>
      <c r="AE3002" s="51">
        <v>84.855999999999995</v>
      </c>
      <c r="AF3002" s="52">
        <f t="shared" si="290"/>
        <v>7.1317444156382775E-2</v>
      </c>
    </row>
    <row r="3003" spans="30:32">
      <c r="AD3003" s="50">
        <v>380.2</v>
      </c>
      <c r="AE3003" s="51">
        <v>85.254999999999995</v>
      </c>
      <c r="AF3003" s="52">
        <f t="shared" si="290"/>
        <v>6.9280141265289183E-2</v>
      </c>
    </row>
    <row r="3004" spans="30:32">
      <c r="AD3004" s="50">
        <v>380.1</v>
      </c>
      <c r="AE3004" s="51">
        <v>85.671999999999997</v>
      </c>
      <c r="AF3004" s="52">
        <f t="shared" si="290"/>
        <v>6.7161094441219621E-2</v>
      </c>
    </row>
    <row r="3005" spans="30:32">
      <c r="AD3005" s="50">
        <v>380</v>
      </c>
      <c r="AE3005" s="51">
        <v>85.975999999999999</v>
      </c>
      <c r="AF3005" s="52">
        <f t="shared" si="290"/>
        <v>6.5622764131058317E-2</v>
      </c>
    </row>
    <row r="3006" spans="30:32">
      <c r="AD3006" s="50">
        <v>379.9</v>
      </c>
      <c r="AE3006" s="51">
        <v>86.257000000000005</v>
      </c>
      <c r="AF3006" s="52">
        <f t="shared" si="290"/>
        <v>6.4205650596541139E-2</v>
      </c>
    </row>
    <row r="3007" spans="30:32">
      <c r="AD3007" s="50">
        <v>379.8</v>
      </c>
      <c r="AE3007" s="51">
        <v>86.507000000000005</v>
      </c>
      <c r="AF3007" s="52">
        <f t="shared" si="290"/>
        <v>6.2948748738981208E-2</v>
      </c>
    </row>
    <row r="3008" spans="30:32">
      <c r="AD3008" s="50">
        <v>379.7</v>
      </c>
      <c r="AE3008" s="51">
        <v>86.759</v>
      </c>
      <c r="AF3008" s="52">
        <f t="shared" si="290"/>
        <v>6.1685462386115136E-2</v>
      </c>
    </row>
    <row r="3009" spans="30:32">
      <c r="AD3009" s="50">
        <v>379.6</v>
      </c>
      <c r="AE3009" s="51">
        <v>87.001000000000005</v>
      </c>
      <c r="AF3009" s="52">
        <f t="shared" si="290"/>
        <v>6.0475755519473665E-2</v>
      </c>
    </row>
    <row r="3010" spans="30:32">
      <c r="AD3010" s="50">
        <v>379.5</v>
      </c>
      <c r="AE3010" s="51">
        <v>87.135000000000005</v>
      </c>
      <c r="AF3010" s="52">
        <f t="shared" si="290"/>
        <v>5.9807364468089992E-2</v>
      </c>
    </row>
    <row r="3011" spans="30:32">
      <c r="AD3011" s="50">
        <v>379.4</v>
      </c>
      <c r="AE3011" s="51">
        <v>87.22</v>
      </c>
      <c r="AF3011" s="52">
        <f t="shared" si="290"/>
        <v>5.9383917662592371E-2</v>
      </c>
    </row>
    <row r="3012" spans="30:32">
      <c r="AD3012" s="50">
        <v>379.3</v>
      </c>
      <c r="AE3012" s="51">
        <v>87.316999999999993</v>
      </c>
      <c r="AF3012" s="52">
        <f t="shared" si="290"/>
        <v>5.8901194009937055E-2</v>
      </c>
    </row>
    <row r="3013" spans="30:32">
      <c r="AD3013" s="50">
        <v>379.2</v>
      </c>
      <c r="AE3013" s="51">
        <v>87.451999999999998</v>
      </c>
      <c r="AF3013" s="52">
        <f t="shared" ref="AF3013:AF3076" si="291">-LOG(AE3013/100)</f>
        <v>5.8230253892205187E-2</v>
      </c>
    </row>
    <row r="3014" spans="30:32">
      <c r="AD3014" s="50">
        <v>379.1</v>
      </c>
      <c r="AE3014" s="51">
        <v>87.543000000000006</v>
      </c>
      <c r="AF3014" s="52">
        <f t="shared" si="291"/>
        <v>5.7778574685193047E-2</v>
      </c>
    </row>
    <row r="3015" spans="30:32">
      <c r="AD3015" s="50">
        <v>379</v>
      </c>
      <c r="AE3015" s="51">
        <v>87.653999999999996</v>
      </c>
      <c r="AF3015" s="52">
        <f t="shared" si="291"/>
        <v>5.7228260536645509E-2</v>
      </c>
    </row>
    <row r="3016" spans="30:32">
      <c r="AD3016" s="50">
        <v>378.9</v>
      </c>
      <c r="AE3016" s="51">
        <v>87.753</v>
      </c>
      <c r="AF3016" s="52">
        <f t="shared" si="291"/>
        <v>5.673802744134393E-2</v>
      </c>
    </row>
    <row r="3017" spans="30:32">
      <c r="AD3017" s="50">
        <v>378.8</v>
      </c>
      <c r="AE3017" s="51">
        <v>87.734999999999999</v>
      </c>
      <c r="AF3017" s="52">
        <f t="shared" si="291"/>
        <v>5.682711958099651E-2</v>
      </c>
    </row>
    <row r="3018" spans="30:32">
      <c r="AD3018" s="50">
        <v>378.7</v>
      </c>
      <c r="AE3018" s="51">
        <v>87.718999999999994</v>
      </c>
      <c r="AF3018" s="52">
        <f t="shared" si="291"/>
        <v>5.6906327940221338E-2</v>
      </c>
    </row>
    <row r="3019" spans="30:32">
      <c r="AD3019" s="50">
        <v>378.6</v>
      </c>
      <c r="AE3019" s="51">
        <v>87.721000000000004</v>
      </c>
      <c r="AF3019" s="52">
        <f t="shared" si="291"/>
        <v>5.689642610524813E-2</v>
      </c>
    </row>
    <row r="3020" spans="30:32">
      <c r="AD3020" s="50">
        <v>378.5</v>
      </c>
      <c r="AE3020" s="51">
        <v>87.763999999999996</v>
      </c>
      <c r="AF3020" s="52">
        <f t="shared" si="291"/>
        <v>5.6683591240780019E-2</v>
      </c>
    </row>
    <row r="3021" spans="30:32">
      <c r="AD3021" s="50">
        <v>378.4</v>
      </c>
      <c r="AE3021" s="51">
        <v>87.816000000000003</v>
      </c>
      <c r="AF3021" s="52">
        <f t="shared" si="291"/>
        <v>5.6426348801786458E-2</v>
      </c>
    </row>
    <row r="3022" spans="30:32">
      <c r="AD3022" s="50">
        <v>378.3</v>
      </c>
      <c r="AE3022" s="51">
        <v>87.86</v>
      </c>
      <c r="AF3022" s="52">
        <f t="shared" si="291"/>
        <v>5.6208801070698367E-2</v>
      </c>
    </row>
    <row r="3023" spans="30:32">
      <c r="AD3023" s="50">
        <v>378.2</v>
      </c>
      <c r="AE3023" s="51">
        <v>87.846000000000004</v>
      </c>
      <c r="AF3023" s="52">
        <f t="shared" si="291"/>
        <v>5.6278008983456196E-2</v>
      </c>
    </row>
    <row r="3024" spans="30:32">
      <c r="AD3024" s="50">
        <v>378.1</v>
      </c>
      <c r="AE3024" s="51">
        <v>87.930999999999997</v>
      </c>
      <c r="AF3024" s="52">
        <f t="shared" si="291"/>
        <v>5.5857987776595876E-2</v>
      </c>
    </row>
    <row r="3025" spans="30:32">
      <c r="AD3025" s="50">
        <v>378</v>
      </c>
      <c r="AE3025" s="51">
        <v>87.947999999999993</v>
      </c>
      <c r="AF3025" s="52">
        <f t="shared" si="291"/>
        <v>5.5774032259276046E-2</v>
      </c>
    </row>
    <row r="3026" spans="30:32">
      <c r="AD3026" s="50">
        <v>377.9</v>
      </c>
      <c r="AE3026" s="51">
        <v>87.927999999999997</v>
      </c>
      <c r="AF3026" s="52">
        <f t="shared" si="291"/>
        <v>5.5872805141028006E-2</v>
      </c>
    </row>
    <row r="3027" spans="30:32">
      <c r="AD3027" s="50">
        <v>377.8</v>
      </c>
      <c r="AE3027" s="51">
        <v>87.936999999999998</v>
      </c>
      <c r="AF3027" s="52">
        <f t="shared" si="291"/>
        <v>5.5828354564272625E-2</v>
      </c>
    </row>
    <row r="3028" spans="30:32">
      <c r="AD3028" s="50">
        <v>377.7</v>
      </c>
      <c r="AE3028" s="51">
        <v>88</v>
      </c>
      <c r="AF3028" s="52">
        <f t="shared" si="291"/>
        <v>5.551732784983137E-2</v>
      </c>
    </row>
    <row r="3029" spans="30:32">
      <c r="AD3029" s="50">
        <v>377.6</v>
      </c>
      <c r="AE3029" s="51">
        <v>87.978999999999999</v>
      </c>
      <c r="AF3029" s="52">
        <f t="shared" si="291"/>
        <v>5.5620978673659914E-2</v>
      </c>
    </row>
    <row r="3030" spans="30:32">
      <c r="AD3030" s="50">
        <v>377.5</v>
      </c>
      <c r="AE3030" s="51">
        <v>87.933000000000007</v>
      </c>
      <c r="AF3030" s="52">
        <f t="shared" si="291"/>
        <v>5.5848109814490503E-2</v>
      </c>
    </row>
    <row r="3031" spans="30:32">
      <c r="AD3031" s="50">
        <v>377.4</v>
      </c>
      <c r="AE3031" s="51">
        <v>87.909000000000006</v>
      </c>
      <c r="AF3031" s="52">
        <f t="shared" si="291"/>
        <v>5.5966660190741924E-2</v>
      </c>
    </row>
    <row r="3032" spans="30:32">
      <c r="AD3032" s="50">
        <v>377.3</v>
      </c>
      <c r="AE3032" s="51">
        <v>87.899000000000001</v>
      </c>
      <c r="AF3032" s="52">
        <f t="shared" si="291"/>
        <v>5.6016065733421612E-2</v>
      </c>
    </row>
    <row r="3033" spans="30:32">
      <c r="AD3033" s="50">
        <v>377.2</v>
      </c>
      <c r="AE3033" s="51">
        <v>87.932000000000002</v>
      </c>
      <c r="AF3033" s="52">
        <f t="shared" si="291"/>
        <v>5.5853048767459099E-2</v>
      </c>
    </row>
    <row r="3034" spans="30:32">
      <c r="AD3034" s="50">
        <v>377.1</v>
      </c>
      <c r="AE3034" s="51">
        <v>87.971999999999994</v>
      </c>
      <c r="AF3034" s="52">
        <f t="shared" si="291"/>
        <v>5.5655534446288964E-2</v>
      </c>
    </row>
    <row r="3035" spans="30:32">
      <c r="AD3035" s="50">
        <v>377</v>
      </c>
      <c r="AE3035" s="51">
        <v>88.061000000000007</v>
      </c>
      <c r="AF3035" s="52">
        <f t="shared" si="291"/>
        <v>5.5216387102520463E-2</v>
      </c>
    </row>
    <row r="3036" spans="30:32">
      <c r="AD3036" s="50">
        <v>376.9</v>
      </c>
      <c r="AE3036" s="51">
        <v>88.099000000000004</v>
      </c>
      <c r="AF3036" s="52">
        <f t="shared" si="291"/>
        <v>5.5029021178720543E-2</v>
      </c>
    </row>
    <row r="3037" spans="30:32">
      <c r="AD3037" s="50">
        <v>376.8</v>
      </c>
      <c r="AE3037" s="51">
        <v>88.162999999999997</v>
      </c>
      <c r="AF3037" s="52">
        <f t="shared" si="291"/>
        <v>5.4713640120258936E-2</v>
      </c>
    </row>
    <row r="3038" spans="30:32">
      <c r="AD3038" s="50">
        <v>376.7</v>
      </c>
      <c r="AE3038" s="51">
        <v>88.126999999999995</v>
      </c>
      <c r="AF3038" s="52">
        <f t="shared" si="291"/>
        <v>5.4891013783720743E-2</v>
      </c>
    </row>
    <row r="3039" spans="30:32">
      <c r="AD3039" s="50">
        <v>376.6</v>
      </c>
      <c r="AE3039" s="51">
        <v>88.120999999999995</v>
      </c>
      <c r="AF3039" s="52">
        <f t="shared" si="291"/>
        <v>5.4920583105272522E-2</v>
      </c>
    </row>
    <row r="3040" spans="30:32">
      <c r="AD3040" s="50">
        <v>376.5</v>
      </c>
      <c r="AE3040" s="51">
        <v>88.129000000000005</v>
      </c>
      <c r="AF3040" s="52">
        <f t="shared" si="291"/>
        <v>5.4881157790576174E-2</v>
      </c>
    </row>
    <row r="3041" spans="30:32">
      <c r="AD3041" s="50">
        <v>376.4</v>
      </c>
      <c r="AE3041" s="51">
        <v>88.156999999999996</v>
      </c>
      <c r="AF3041" s="52">
        <f t="shared" si="291"/>
        <v>5.4743197367223807E-2</v>
      </c>
    </row>
    <row r="3042" spans="30:32">
      <c r="AD3042" s="50">
        <v>376.3</v>
      </c>
      <c r="AE3042" s="51">
        <v>88.210999999999999</v>
      </c>
      <c r="AF3042" s="52">
        <f t="shared" si="291"/>
        <v>5.4477254534560197E-2</v>
      </c>
    </row>
    <row r="3043" spans="30:32">
      <c r="AD3043" s="50">
        <v>376.2</v>
      </c>
      <c r="AE3043" s="51">
        <v>88.168999999999997</v>
      </c>
      <c r="AF3043" s="52">
        <f t="shared" si="291"/>
        <v>5.4684084884766483E-2</v>
      </c>
    </row>
    <row r="3044" spans="30:32">
      <c r="AD3044" s="50">
        <v>376.1</v>
      </c>
      <c r="AE3044" s="51">
        <v>88.167000000000002</v>
      </c>
      <c r="AF3044" s="52">
        <f t="shared" si="291"/>
        <v>5.4693936406450538E-2</v>
      </c>
    </row>
    <row r="3045" spans="30:32">
      <c r="AD3045" s="50">
        <v>376</v>
      </c>
      <c r="AE3045" s="51">
        <v>88.141000000000005</v>
      </c>
      <c r="AF3045" s="52">
        <f t="shared" si="291"/>
        <v>5.4822026528411422E-2</v>
      </c>
    </row>
    <row r="3046" spans="30:32">
      <c r="AD3046" s="50">
        <v>375.9</v>
      </c>
      <c r="AE3046" s="51">
        <v>88.194999999999993</v>
      </c>
      <c r="AF3046" s="52">
        <f t="shared" si="291"/>
        <v>5.4556035434637391E-2</v>
      </c>
    </row>
    <row r="3047" spans="30:32">
      <c r="AD3047" s="50">
        <v>375.8</v>
      </c>
      <c r="AE3047" s="51">
        <v>88.293000000000006</v>
      </c>
      <c r="AF3047" s="52">
        <f t="shared" si="291"/>
        <v>5.4073726568302546E-2</v>
      </c>
    </row>
    <row r="3048" spans="30:32">
      <c r="AD3048" s="50">
        <v>375.7</v>
      </c>
      <c r="AE3048" s="51">
        <v>88.367000000000004</v>
      </c>
      <c r="AF3048" s="52">
        <f t="shared" si="291"/>
        <v>5.3709888760756865E-2</v>
      </c>
    </row>
    <row r="3049" spans="30:32">
      <c r="AD3049" s="50">
        <v>375.6</v>
      </c>
      <c r="AE3049" s="51">
        <v>88.388999999999996</v>
      </c>
      <c r="AF3049" s="52">
        <f t="shared" si="291"/>
        <v>5.3601779518058404E-2</v>
      </c>
    </row>
    <row r="3050" spans="30:32">
      <c r="AD3050" s="50">
        <v>375.5</v>
      </c>
      <c r="AE3050" s="51">
        <v>88.387</v>
      </c>
      <c r="AF3050" s="52">
        <f t="shared" si="291"/>
        <v>5.3611606519052203E-2</v>
      </c>
    </row>
    <row r="3051" spans="30:32">
      <c r="AD3051" s="50">
        <v>375.4</v>
      </c>
      <c r="AE3051" s="51">
        <v>88.388999999999996</v>
      </c>
      <c r="AF3051" s="52">
        <f t="shared" si="291"/>
        <v>5.3601779518058404E-2</v>
      </c>
    </row>
    <row r="3052" spans="30:32">
      <c r="AD3052" s="50">
        <v>375.3</v>
      </c>
      <c r="AE3052" s="51">
        <v>88.375</v>
      </c>
      <c r="AF3052" s="52">
        <f t="shared" si="291"/>
        <v>5.3670573195044161E-2</v>
      </c>
    </row>
    <row r="3053" spans="30:32">
      <c r="AD3053" s="50">
        <v>375.2</v>
      </c>
      <c r="AE3053" s="51">
        <v>88.394000000000005</v>
      </c>
      <c r="AF3053" s="52">
        <f t="shared" si="291"/>
        <v>5.357721298835702E-2</v>
      </c>
    </row>
    <row r="3054" spans="30:32">
      <c r="AD3054" s="50">
        <v>375.1</v>
      </c>
      <c r="AE3054" s="51">
        <v>88.42</v>
      </c>
      <c r="AF3054" s="52">
        <f t="shared" si="291"/>
        <v>5.3449489430144805E-2</v>
      </c>
    </row>
    <row r="3055" spans="30:32">
      <c r="AD3055" s="50">
        <v>375</v>
      </c>
      <c r="AE3055" s="51">
        <v>88.466999999999999</v>
      </c>
      <c r="AF3055" s="52">
        <f t="shared" si="291"/>
        <v>5.3218699817230243E-2</v>
      </c>
    </row>
    <row r="3056" spans="30:32">
      <c r="AD3056" s="50">
        <v>374.9</v>
      </c>
      <c r="AE3056" s="51">
        <v>88.5</v>
      </c>
      <c r="AF3056" s="52">
        <f t="shared" si="291"/>
        <v>5.305672930217456E-2</v>
      </c>
    </row>
    <row r="3057" spans="30:32">
      <c r="AD3057" s="50">
        <v>374.8</v>
      </c>
      <c r="AE3057" s="51">
        <v>88.531999999999996</v>
      </c>
      <c r="AF3057" s="52">
        <f t="shared" si="291"/>
        <v>5.2899724652481141E-2</v>
      </c>
    </row>
    <row r="3058" spans="30:32">
      <c r="AD3058" s="50">
        <v>374.7</v>
      </c>
      <c r="AE3058" s="51">
        <v>88.494</v>
      </c>
      <c r="AF3058" s="52">
        <f t="shared" si="291"/>
        <v>5.3086173993999376E-2</v>
      </c>
    </row>
    <row r="3059" spans="30:32">
      <c r="AD3059" s="50">
        <v>374.6</v>
      </c>
      <c r="AE3059" s="51">
        <v>88.521000000000001</v>
      </c>
      <c r="AF3059" s="52">
        <f t="shared" si="291"/>
        <v>5.2953688598950048E-2</v>
      </c>
    </row>
    <row r="3060" spans="30:32">
      <c r="AD3060" s="50">
        <v>374.5</v>
      </c>
      <c r="AE3060" s="51">
        <v>88.513000000000005</v>
      </c>
      <c r="AF3060" s="52">
        <f t="shared" si="291"/>
        <v>5.2992939317541843E-2</v>
      </c>
    </row>
    <row r="3061" spans="30:32">
      <c r="AD3061" s="50">
        <v>374.4</v>
      </c>
      <c r="AE3061" s="51">
        <v>88.543999999999997</v>
      </c>
      <c r="AF3061" s="52">
        <f t="shared" si="291"/>
        <v>5.2840862539142039E-2</v>
      </c>
    </row>
    <row r="3062" spans="30:32">
      <c r="AD3062" s="50">
        <v>374.3</v>
      </c>
      <c r="AE3062" s="51">
        <v>88.584000000000003</v>
      </c>
      <c r="AF3062" s="52">
        <f t="shared" si="291"/>
        <v>5.2644713092736772E-2</v>
      </c>
    </row>
    <row r="3063" spans="30:32">
      <c r="AD3063" s="50">
        <v>374.2</v>
      </c>
      <c r="AE3063" s="51">
        <v>88.564999999999998</v>
      </c>
      <c r="AF3063" s="52">
        <f t="shared" si="291"/>
        <v>5.2737873033665686E-2</v>
      </c>
    </row>
    <row r="3064" spans="30:32">
      <c r="AD3064" s="50">
        <v>374.1</v>
      </c>
      <c r="AE3064" s="51">
        <v>88.52</v>
      </c>
      <c r="AF3064" s="52">
        <f t="shared" si="291"/>
        <v>5.2958594744779666E-2</v>
      </c>
    </row>
    <row r="3065" spans="30:32">
      <c r="AD3065" s="50">
        <v>374</v>
      </c>
      <c r="AE3065" s="51">
        <v>88.498999999999995</v>
      </c>
      <c r="AF3065" s="52">
        <f t="shared" si="291"/>
        <v>5.3061636612180954E-2</v>
      </c>
    </row>
    <row r="3066" spans="30:32">
      <c r="AD3066" s="50">
        <v>373.9</v>
      </c>
      <c r="AE3066" s="51">
        <v>88.394999999999996</v>
      </c>
      <c r="AF3066" s="52">
        <f t="shared" si="291"/>
        <v>5.3572299849169558E-2</v>
      </c>
    </row>
    <row r="3067" spans="30:32">
      <c r="AD3067" s="50">
        <v>373.8</v>
      </c>
      <c r="AE3067" s="51">
        <v>88.454999999999998</v>
      </c>
      <c r="AF3067" s="52">
        <f t="shared" si="291"/>
        <v>5.3277613166512194E-2</v>
      </c>
    </row>
    <row r="3068" spans="30:32">
      <c r="AD3068" s="50">
        <v>373.7</v>
      </c>
      <c r="AE3068" s="51">
        <v>88.570999999999998</v>
      </c>
      <c r="AF3068" s="52">
        <f t="shared" si="291"/>
        <v>5.2708451945999504E-2</v>
      </c>
    </row>
    <row r="3069" spans="30:32">
      <c r="AD3069" s="50">
        <v>373.6</v>
      </c>
      <c r="AE3069" s="51">
        <v>88.52</v>
      </c>
      <c r="AF3069" s="52">
        <f t="shared" si="291"/>
        <v>5.2958594744779666E-2</v>
      </c>
    </row>
    <row r="3070" spans="30:32">
      <c r="AD3070" s="50">
        <v>373.5</v>
      </c>
      <c r="AE3070" s="51">
        <v>88.49</v>
      </c>
      <c r="AF3070" s="52">
        <f t="shared" si="291"/>
        <v>5.3105804897673269E-2</v>
      </c>
    </row>
    <row r="3071" spans="30:32">
      <c r="AD3071" s="50">
        <v>373.4</v>
      </c>
      <c r="AE3071" s="51">
        <v>88.415000000000006</v>
      </c>
      <c r="AF3071" s="52">
        <f t="shared" si="291"/>
        <v>5.3474048735826257E-2</v>
      </c>
    </row>
    <row r="3072" spans="30:32">
      <c r="AD3072" s="50">
        <v>373.3</v>
      </c>
      <c r="AE3072" s="51">
        <v>88.382000000000005</v>
      </c>
      <c r="AF3072" s="52">
        <f t="shared" si="291"/>
        <v>5.363617499440812E-2</v>
      </c>
    </row>
    <row r="3073" spans="30:32">
      <c r="AD3073" s="50">
        <v>373.2</v>
      </c>
      <c r="AE3073" s="51">
        <v>88.352000000000004</v>
      </c>
      <c r="AF3073" s="52">
        <f t="shared" si="291"/>
        <v>5.3783615040830804E-2</v>
      </c>
    </row>
    <row r="3074" spans="30:32">
      <c r="AD3074" s="50">
        <v>373.1</v>
      </c>
      <c r="AE3074" s="51">
        <v>88.373999999999995</v>
      </c>
      <c r="AF3074" s="52">
        <f t="shared" si="291"/>
        <v>5.3675487446122369E-2</v>
      </c>
    </row>
    <row r="3075" spans="30:32">
      <c r="AD3075" s="50">
        <v>373</v>
      </c>
      <c r="AE3075" s="51">
        <v>88.343999999999994</v>
      </c>
      <c r="AF3075" s="52">
        <f t="shared" si="291"/>
        <v>5.3822940841727354E-2</v>
      </c>
    </row>
    <row r="3076" spans="30:32">
      <c r="AD3076" s="50">
        <v>372.9</v>
      </c>
      <c r="AE3076" s="51">
        <v>88.287999999999997</v>
      </c>
      <c r="AF3076" s="52">
        <f t="shared" si="291"/>
        <v>5.4098321200908558E-2</v>
      </c>
    </row>
    <row r="3077" spans="30:32">
      <c r="AD3077" s="50">
        <v>372.8</v>
      </c>
      <c r="AE3077" s="51">
        <v>88.188000000000002</v>
      </c>
      <c r="AF3077" s="52">
        <f t="shared" ref="AF3077:AF3140" si="292">-LOG(AE3077/100)</f>
        <v>5.4590506572727966E-2</v>
      </c>
    </row>
    <row r="3078" spans="30:32">
      <c r="AD3078" s="50">
        <v>372.7</v>
      </c>
      <c r="AE3078" s="51">
        <v>88.123999999999995</v>
      </c>
      <c r="AF3078" s="52">
        <f t="shared" si="292"/>
        <v>5.4905798192840007E-2</v>
      </c>
    </row>
    <row r="3079" spans="30:32">
      <c r="AD3079" s="50">
        <v>372.6</v>
      </c>
      <c r="AE3079" s="51">
        <v>88.061000000000007</v>
      </c>
      <c r="AF3079" s="52">
        <f t="shared" si="292"/>
        <v>5.5216387102520463E-2</v>
      </c>
    </row>
    <row r="3080" spans="30:32">
      <c r="AD3080" s="50">
        <v>372.5</v>
      </c>
      <c r="AE3080" s="51">
        <v>87.950999999999993</v>
      </c>
      <c r="AF3080" s="52">
        <f t="shared" si="292"/>
        <v>5.575921826436038E-2</v>
      </c>
    </row>
    <row r="3081" spans="30:32">
      <c r="AD3081" s="50">
        <v>372.4</v>
      </c>
      <c r="AE3081" s="51">
        <v>87.864999999999995</v>
      </c>
      <c r="AF3081" s="52">
        <f t="shared" si="292"/>
        <v>5.6184086631545171E-2</v>
      </c>
    </row>
    <row r="3082" spans="30:32">
      <c r="AD3082" s="50">
        <v>372.3</v>
      </c>
      <c r="AE3082" s="51">
        <v>87.798000000000002</v>
      </c>
      <c r="AF3082" s="52">
        <f t="shared" si="292"/>
        <v>5.6515377019373175E-2</v>
      </c>
    </row>
    <row r="3083" spans="30:32">
      <c r="AD3083" s="50">
        <v>372.2</v>
      </c>
      <c r="AE3083" s="51">
        <v>87.686999999999998</v>
      </c>
      <c r="AF3083" s="52">
        <f t="shared" si="292"/>
        <v>5.7064788010858396E-2</v>
      </c>
    </row>
    <row r="3084" spans="30:32">
      <c r="AD3084" s="50">
        <v>372.1</v>
      </c>
      <c r="AE3084" s="51">
        <v>87.522999999999996</v>
      </c>
      <c r="AF3084" s="52">
        <f t="shared" si="292"/>
        <v>5.7877804571931271E-2</v>
      </c>
    </row>
    <row r="3085" spans="30:32">
      <c r="AD3085" s="50">
        <v>372</v>
      </c>
      <c r="AE3085" s="51">
        <v>87.268000000000001</v>
      </c>
      <c r="AF3085" s="52">
        <f t="shared" si="292"/>
        <v>5.914497704023209E-2</v>
      </c>
    </row>
    <row r="3086" spans="30:32">
      <c r="AD3086" s="50">
        <v>371.9</v>
      </c>
      <c r="AE3086" s="51">
        <v>87.028000000000006</v>
      </c>
      <c r="AF3086" s="52">
        <f t="shared" si="292"/>
        <v>6.0340996932048918E-2</v>
      </c>
    </row>
    <row r="3087" spans="30:32">
      <c r="AD3087" s="50">
        <v>371.8</v>
      </c>
      <c r="AE3087" s="51">
        <v>86.789000000000001</v>
      </c>
      <c r="AF3087" s="52">
        <f t="shared" si="292"/>
        <v>6.1535315630325674E-2</v>
      </c>
    </row>
    <row r="3088" spans="30:32">
      <c r="AD3088" s="50">
        <v>371.7</v>
      </c>
      <c r="AE3088" s="51">
        <v>86.620999999999995</v>
      </c>
      <c r="AF3088" s="52">
        <f t="shared" si="292"/>
        <v>6.2376806845208757E-2</v>
      </c>
    </row>
    <row r="3089" spans="30:32">
      <c r="AD3089" s="50">
        <v>371.6</v>
      </c>
      <c r="AE3089" s="51">
        <v>86.29</v>
      </c>
      <c r="AF3089" s="52">
        <f t="shared" si="292"/>
        <v>6.4039531010833484E-2</v>
      </c>
    </row>
    <row r="3090" spans="30:32">
      <c r="AD3090" s="50">
        <v>371.5</v>
      </c>
      <c r="AE3090" s="51">
        <v>86.105999999999995</v>
      </c>
      <c r="AF3090" s="52">
        <f t="shared" si="292"/>
        <v>6.4966585176979813E-2</v>
      </c>
    </row>
    <row r="3091" spans="30:32">
      <c r="AD3091" s="50">
        <v>371.4</v>
      </c>
      <c r="AE3091" s="51">
        <v>85.704999999999998</v>
      </c>
      <c r="AF3091" s="52">
        <f t="shared" si="292"/>
        <v>6.6993840748134276E-2</v>
      </c>
    </row>
    <row r="3092" spans="30:32">
      <c r="AD3092" s="50">
        <v>371.3</v>
      </c>
      <c r="AE3092" s="51">
        <v>85.353999999999999</v>
      </c>
      <c r="AF3092" s="52">
        <f t="shared" si="292"/>
        <v>6.8776121447645638E-2</v>
      </c>
    </row>
    <row r="3093" spans="30:32">
      <c r="AD3093" s="50">
        <v>371.2</v>
      </c>
      <c r="AE3093" s="51">
        <v>84.986000000000004</v>
      </c>
      <c r="AF3093" s="52">
        <f t="shared" si="292"/>
        <v>7.0652611032973392E-2</v>
      </c>
    </row>
    <row r="3094" spans="30:32">
      <c r="AD3094" s="50">
        <v>371.1</v>
      </c>
      <c r="AE3094" s="51">
        <v>84.555999999999997</v>
      </c>
      <c r="AF3094" s="52">
        <f t="shared" si="292"/>
        <v>7.2855569917947699E-2</v>
      </c>
    </row>
    <row r="3095" spans="30:32">
      <c r="AD3095" s="50">
        <v>371</v>
      </c>
      <c r="AE3095" s="51">
        <v>84.14</v>
      </c>
      <c r="AF3095" s="52">
        <f t="shared" si="292"/>
        <v>7.4997492319022432E-2</v>
      </c>
    </row>
    <row r="3096" spans="30:32">
      <c r="AD3096" s="50">
        <v>370.9</v>
      </c>
      <c r="AE3096" s="51">
        <v>83.725999999999999</v>
      </c>
      <c r="AF3096" s="52">
        <f t="shared" si="292"/>
        <v>7.7139656664914319E-2</v>
      </c>
    </row>
    <row r="3097" spans="30:32">
      <c r="AD3097" s="50">
        <v>370.8</v>
      </c>
      <c r="AE3097" s="51">
        <v>83.271000000000001</v>
      </c>
      <c r="AF3097" s="52">
        <f t="shared" si="292"/>
        <v>7.9506219875457723E-2</v>
      </c>
    </row>
    <row r="3098" spans="30:32">
      <c r="AD3098" s="50">
        <v>370.7</v>
      </c>
      <c r="AE3098" s="51">
        <v>82.74</v>
      </c>
      <c r="AF3098" s="52">
        <f t="shared" si="292"/>
        <v>8.2284483440506651E-2</v>
      </c>
    </row>
    <row r="3099" spans="30:32">
      <c r="AD3099" s="50">
        <v>370.6</v>
      </c>
      <c r="AE3099" s="51">
        <v>82.269000000000005</v>
      </c>
      <c r="AF3099" s="52">
        <f t="shared" si="292"/>
        <v>8.4763781618339071E-2</v>
      </c>
    </row>
    <row r="3100" spans="30:32">
      <c r="AD3100" s="50">
        <v>370.5</v>
      </c>
      <c r="AE3100" s="51">
        <v>81.825999999999993</v>
      </c>
      <c r="AF3100" s="52">
        <f t="shared" si="292"/>
        <v>8.7108678451022867E-2</v>
      </c>
    </row>
    <row r="3101" spans="30:32">
      <c r="AD3101" s="50">
        <v>370.4</v>
      </c>
      <c r="AE3101" s="51">
        <v>81.397999999999996</v>
      </c>
      <c r="AF3101" s="52">
        <f t="shared" si="292"/>
        <v>8.9386265867980721E-2</v>
      </c>
    </row>
    <row r="3102" spans="30:32">
      <c r="AD3102" s="50">
        <v>370.3</v>
      </c>
      <c r="AE3102" s="51">
        <v>80.915000000000006</v>
      </c>
      <c r="AF3102" s="52">
        <f t="shared" si="292"/>
        <v>9.1970961535183623E-2</v>
      </c>
    </row>
    <row r="3103" spans="30:32">
      <c r="AD3103" s="50">
        <v>370.2</v>
      </c>
      <c r="AE3103" s="51">
        <v>80.484999999999999</v>
      </c>
      <c r="AF3103" s="52">
        <f t="shared" si="292"/>
        <v>9.428505161023383E-2</v>
      </c>
    </row>
    <row r="3104" spans="30:32">
      <c r="AD3104" s="50">
        <v>370.1</v>
      </c>
      <c r="AE3104" s="51">
        <v>79.965000000000003</v>
      </c>
      <c r="AF3104" s="52">
        <f t="shared" si="292"/>
        <v>9.7100058419354748E-2</v>
      </c>
    </row>
    <row r="3105" spans="30:32">
      <c r="AD3105" s="50">
        <v>370</v>
      </c>
      <c r="AE3105" s="51">
        <v>79.516000000000005</v>
      </c>
      <c r="AF3105" s="52">
        <f t="shared" si="292"/>
        <v>9.9545474959091593E-2</v>
      </c>
    </row>
    <row r="3106" spans="30:32">
      <c r="AD3106" s="50">
        <v>369.9</v>
      </c>
      <c r="AE3106" s="51">
        <v>79.198999999999998</v>
      </c>
      <c r="AF3106" s="52">
        <f t="shared" si="292"/>
        <v>0.10128030196131062</v>
      </c>
    </row>
    <row r="3107" spans="30:32">
      <c r="AD3107" s="50">
        <v>369.8</v>
      </c>
      <c r="AE3107" s="51">
        <v>78.760000000000005</v>
      </c>
      <c r="AF3107" s="52">
        <f t="shared" si="292"/>
        <v>0.10369429253391936</v>
      </c>
    </row>
    <row r="3108" spans="30:32">
      <c r="AD3108" s="50">
        <v>369.7</v>
      </c>
      <c r="AE3108" s="51">
        <v>78.319000000000003</v>
      </c>
      <c r="AF3108" s="52">
        <f t="shared" si="292"/>
        <v>0.10613286636904638</v>
      </c>
    </row>
    <row r="3109" spans="30:32">
      <c r="AD3109" s="50">
        <v>369.6</v>
      </c>
      <c r="AE3109" s="51">
        <v>77.929000000000002</v>
      </c>
      <c r="AF3109" s="52">
        <f t="shared" si="292"/>
        <v>0.1083008966758483</v>
      </c>
    </row>
    <row r="3110" spans="30:32">
      <c r="AD3110" s="50">
        <v>369.5</v>
      </c>
      <c r="AE3110" s="51">
        <v>77.617000000000004</v>
      </c>
      <c r="AF3110" s="52">
        <f t="shared" si="292"/>
        <v>0.11004314732937764</v>
      </c>
    </row>
    <row r="3111" spans="30:32">
      <c r="AD3111" s="50">
        <v>369.4</v>
      </c>
      <c r="AE3111" s="51">
        <v>77.293000000000006</v>
      </c>
      <c r="AF3111" s="52">
        <f t="shared" si="292"/>
        <v>0.11185983595269636</v>
      </c>
    </row>
    <row r="3112" spans="30:32">
      <c r="AD3112" s="50">
        <v>369.3</v>
      </c>
      <c r="AE3112" s="51">
        <v>77.034999999999997</v>
      </c>
      <c r="AF3112" s="52">
        <f t="shared" si="292"/>
        <v>0.11331191309637641</v>
      </c>
    </row>
    <row r="3113" spans="30:32">
      <c r="AD3113" s="50">
        <v>369.2</v>
      </c>
      <c r="AE3113" s="51">
        <v>76.801000000000002</v>
      </c>
      <c r="AF3113" s="52">
        <f t="shared" si="292"/>
        <v>0.11463312512923685</v>
      </c>
    </row>
    <row r="3114" spans="30:32">
      <c r="AD3114" s="50">
        <v>369.1</v>
      </c>
      <c r="AE3114" s="51">
        <v>76.611999999999995</v>
      </c>
      <c r="AF3114" s="52">
        <f t="shared" si="292"/>
        <v>0.11570320000693485</v>
      </c>
    </row>
    <row r="3115" spans="30:32">
      <c r="AD3115" s="50">
        <v>369</v>
      </c>
      <c r="AE3115" s="51">
        <v>76.444999999999993</v>
      </c>
      <c r="AF3115" s="52">
        <f t="shared" si="292"/>
        <v>0.11665091500538477</v>
      </c>
    </row>
    <row r="3116" spans="30:32">
      <c r="AD3116" s="50">
        <v>368.9</v>
      </c>
      <c r="AE3116" s="51">
        <v>76.263000000000005</v>
      </c>
      <c r="AF3116" s="52">
        <f t="shared" si="292"/>
        <v>0.11768611464300319</v>
      </c>
    </row>
    <row r="3117" spans="30:32">
      <c r="AD3117" s="50">
        <v>368.8</v>
      </c>
      <c r="AE3117" s="51">
        <v>76.16</v>
      </c>
      <c r="AF3117" s="52">
        <f t="shared" si="292"/>
        <v>0.1182730646235821</v>
      </c>
    </row>
    <row r="3118" spans="30:32">
      <c r="AD3118" s="50">
        <v>368.7</v>
      </c>
      <c r="AE3118" s="51">
        <v>75.981999999999999</v>
      </c>
      <c r="AF3118" s="52">
        <f t="shared" si="292"/>
        <v>0.11928927912122747</v>
      </c>
    </row>
    <row r="3119" spans="30:32">
      <c r="AD3119" s="50">
        <v>368.6</v>
      </c>
      <c r="AE3119" s="51">
        <v>75.938999999999993</v>
      </c>
      <c r="AF3119" s="52">
        <f t="shared" si="292"/>
        <v>0.11953512614988755</v>
      </c>
    </row>
    <row r="3120" spans="30:32">
      <c r="AD3120" s="50">
        <v>368.5</v>
      </c>
      <c r="AE3120" s="51">
        <v>75.834000000000003</v>
      </c>
      <c r="AF3120" s="52">
        <f t="shared" si="292"/>
        <v>0.12013603576984615</v>
      </c>
    </row>
    <row r="3121" spans="30:32">
      <c r="AD3121" s="50">
        <v>368.4</v>
      </c>
      <c r="AE3121" s="51">
        <v>75.768000000000001</v>
      </c>
      <c r="AF3121" s="52">
        <f t="shared" si="292"/>
        <v>0.12051417639617661</v>
      </c>
    </row>
    <row r="3122" spans="30:32">
      <c r="AD3122" s="50">
        <v>368.3</v>
      </c>
      <c r="AE3122" s="51">
        <v>75.722999999999999</v>
      </c>
      <c r="AF3122" s="52">
        <f t="shared" si="292"/>
        <v>0.12077218845313659</v>
      </c>
    </row>
    <row r="3123" spans="30:32">
      <c r="AD3123" s="50">
        <v>368.2</v>
      </c>
      <c r="AE3123" s="51">
        <v>75.626000000000005</v>
      </c>
      <c r="AF3123" s="52">
        <f t="shared" si="292"/>
        <v>0.12132886964049207</v>
      </c>
    </row>
    <row r="3124" spans="30:32">
      <c r="AD3124" s="50">
        <v>368.1</v>
      </c>
      <c r="AE3124" s="51">
        <v>75.622</v>
      </c>
      <c r="AF3124" s="52">
        <f t="shared" si="292"/>
        <v>0.12135184089205267</v>
      </c>
    </row>
    <row r="3125" spans="30:32">
      <c r="AD3125" s="50">
        <v>368</v>
      </c>
      <c r="AE3125" s="51">
        <v>75.613</v>
      </c>
      <c r="AF3125" s="52">
        <f t="shared" si="292"/>
        <v>0.12140353065092786</v>
      </c>
    </row>
    <row r="3126" spans="30:32">
      <c r="AD3126" s="50">
        <v>367.9</v>
      </c>
      <c r="AE3126" s="51">
        <v>75.564999999999998</v>
      </c>
      <c r="AF3126" s="52">
        <f t="shared" si="292"/>
        <v>0.12167931331549361</v>
      </c>
    </row>
    <row r="3127" spans="30:32">
      <c r="AD3127" s="50">
        <v>367.8</v>
      </c>
      <c r="AE3127" s="51">
        <v>75.489000000000004</v>
      </c>
      <c r="AF3127" s="52">
        <f t="shared" si="292"/>
        <v>0.12211632767340182</v>
      </c>
    </row>
    <row r="3128" spans="30:32">
      <c r="AD3128" s="50">
        <v>367.7</v>
      </c>
      <c r="AE3128" s="51">
        <v>75.417000000000002</v>
      </c>
      <c r="AF3128" s="52">
        <f t="shared" si="292"/>
        <v>0.12253074731304189</v>
      </c>
    </row>
    <row r="3129" spans="30:32">
      <c r="AD3129" s="50">
        <v>367.6</v>
      </c>
      <c r="AE3129" s="51">
        <v>75.277000000000001</v>
      </c>
      <c r="AF3129" s="52">
        <f t="shared" si="292"/>
        <v>0.12333769709152143</v>
      </c>
    </row>
    <row r="3130" spans="30:32">
      <c r="AD3130" s="50">
        <v>367.5</v>
      </c>
      <c r="AE3130" s="51">
        <v>75.138999999999996</v>
      </c>
      <c r="AF3130" s="52">
        <f t="shared" si="292"/>
        <v>0.1241345891152191</v>
      </c>
    </row>
    <row r="3131" spans="30:32">
      <c r="AD3131" s="50">
        <v>367.4</v>
      </c>
      <c r="AE3131" s="51">
        <v>74.960999999999999</v>
      </c>
      <c r="AF3131" s="52">
        <f t="shared" si="292"/>
        <v>0.12516462847586662</v>
      </c>
    </row>
    <row r="3132" spans="30:32">
      <c r="AD3132" s="50">
        <v>367.3</v>
      </c>
      <c r="AE3132" s="51">
        <v>74.742000000000004</v>
      </c>
      <c r="AF3132" s="52">
        <f t="shared" si="292"/>
        <v>0.12643528516790994</v>
      </c>
    </row>
    <row r="3133" spans="30:32">
      <c r="AD3133" s="50">
        <v>367.2</v>
      </c>
      <c r="AE3133" s="51">
        <v>74.510000000000005</v>
      </c>
      <c r="AF3133" s="52">
        <f t="shared" si="292"/>
        <v>0.1277854366024144</v>
      </c>
    </row>
    <row r="3134" spans="30:32">
      <c r="AD3134" s="50">
        <v>367.1</v>
      </c>
      <c r="AE3134" s="51">
        <v>74.248000000000005</v>
      </c>
      <c r="AF3134" s="52">
        <f t="shared" si="292"/>
        <v>0.12931524033616665</v>
      </c>
    </row>
    <row r="3135" spans="30:32">
      <c r="AD3135" s="50">
        <v>367</v>
      </c>
      <c r="AE3135" s="51">
        <v>73.92</v>
      </c>
      <c r="AF3135" s="52">
        <f t="shared" si="292"/>
        <v>0.13123804178794973</v>
      </c>
    </row>
    <row r="3136" spans="30:32">
      <c r="AD3136" s="50">
        <v>366.9</v>
      </c>
      <c r="AE3136" s="51">
        <v>73.492999999999995</v>
      </c>
      <c r="AF3136" s="52">
        <f t="shared" si="292"/>
        <v>0.13375402426474856</v>
      </c>
    </row>
    <row r="3137" spans="30:32">
      <c r="AD3137" s="50">
        <v>366.8</v>
      </c>
      <c r="AE3137" s="51">
        <v>73.085999999999999</v>
      </c>
      <c r="AF3137" s="52">
        <f t="shared" si="292"/>
        <v>0.13616580642174136</v>
      </c>
    </row>
    <row r="3138" spans="30:32">
      <c r="AD3138" s="50">
        <v>366.7</v>
      </c>
      <c r="AE3138" s="51">
        <v>72.682000000000002</v>
      </c>
      <c r="AF3138" s="52">
        <f t="shared" si="292"/>
        <v>0.13857313066211613</v>
      </c>
    </row>
    <row r="3139" spans="30:32">
      <c r="AD3139" s="50">
        <v>366.6</v>
      </c>
      <c r="AE3139" s="51">
        <v>72.144999999999996</v>
      </c>
      <c r="AF3139" s="52">
        <f t="shared" si="292"/>
        <v>0.14179376225107729</v>
      </c>
    </row>
    <row r="3140" spans="30:32">
      <c r="AD3140" s="50">
        <v>366.5</v>
      </c>
      <c r="AE3140" s="51">
        <v>71.572999999999993</v>
      </c>
      <c r="AF3140" s="52">
        <f t="shared" si="292"/>
        <v>0.14525077884390342</v>
      </c>
    </row>
    <row r="3141" spans="30:32">
      <c r="AD3141" s="50">
        <v>366.4</v>
      </c>
      <c r="AE3141" s="51">
        <v>70.975999999999999</v>
      </c>
      <c r="AF3141" s="52">
        <f t="shared" ref="AF3141:AF3204" si="293">-LOG(AE3141/100)</f>
        <v>0.14888847986695281</v>
      </c>
    </row>
    <row r="3142" spans="30:32">
      <c r="AD3142" s="50">
        <v>366.3</v>
      </c>
      <c r="AE3142" s="51">
        <v>70.317999999999998</v>
      </c>
      <c r="AF3142" s="52">
        <f t="shared" si="293"/>
        <v>0.15293349005766319</v>
      </c>
    </row>
    <row r="3143" spans="30:32">
      <c r="AD3143" s="50">
        <v>366.2</v>
      </c>
      <c r="AE3143" s="51">
        <v>69.599000000000004</v>
      </c>
      <c r="AF3143" s="52">
        <f t="shared" si="293"/>
        <v>0.15739700029751066</v>
      </c>
    </row>
    <row r="3144" spans="30:32">
      <c r="AD3144" s="50">
        <v>366.1</v>
      </c>
      <c r="AE3144" s="51">
        <v>68.853999999999999</v>
      </c>
      <c r="AF3144" s="52">
        <f t="shared" si="293"/>
        <v>0.16207082479751672</v>
      </c>
    </row>
    <row r="3145" spans="30:32">
      <c r="AD3145" s="50">
        <v>366</v>
      </c>
      <c r="AE3145" s="51">
        <v>68.081000000000003</v>
      </c>
      <c r="AF3145" s="52">
        <f t="shared" si="293"/>
        <v>0.16697407379167731</v>
      </c>
    </row>
    <row r="3146" spans="30:32">
      <c r="AD3146" s="50">
        <v>365.9</v>
      </c>
      <c r="AE3146" s="51">
        <v>67.245999999999995</v>
      </c>
      <c r="AF3146" s="52">
        <f t="shared" si="293"/>
        <v>0.17233354373585846</v>
      </c>
    </row>
    <row r="3147" spans="30:32">
      <c r="AD3147" s="50">
        <v>365.8</v>
      </c>
      <c r="AE3147" s="51">
        <v>66.340999999999994</v>
      </c>
      <c r="AF3147" s="52">
        <f t="shared" si="293"/>
        <v>0.1782179863708222</v>
      </c>
    </row>
    <row r="3148" spans="30:32">
      <c r="AD3148" s="50">
        <v>365.7</v>
      </c>
      <c r="AE3148" s="51">
        <v>65.382000000000005</v>
      </c>
      <c r="AF3148" s="52">
        <f t="shared" si="293"/>
        <v>0.18454179871926496</v>
      </c>
    </row>
    <row r="3149" spans="30:32">
      <c r="AD3149" s="50">
        <v>365.6</v>
      </c>
      <c r="AE3149" s="51">
        <v>64.488</v>
      </c>
      <c r="AF3149" s="52">
        <f t="shared" si="293"/>
        <v>0.19052109185522551</v>
      </c>
    </row>
    <row r="3150" spans="30:32">
      <c r="AD3150" s="50">
        <v>365.5</v>
      </c>
      <c r="AE3150" s="51">
        <v>63.509</v>
      </c>
      <c r="AF3150" s="52">
        <f t="shared" si="293"/>
        <v>0.19716472552105849</v>
      </c>
    </row>
    <row r="3151" spans="30:32">
      <c r="AD3151" s="50">
        <v>365.4</v>
      </c>
      <c r="AE3151" s="51">
        <v>62.582999999999998</v>
      </c>
      <c r="AF3151" s="52">
        <f t="shared" si="293"/>
        <v>0.20354362220264943</v>
      </c>
    </row>
    <row r="3152" spans="30:32">
      <c r="AD3152" s="50">
        <v>365.3</v>
      </c>
      <c r="AE3152" s="51">
        <v>61.667999999999999</v>
      </c>
      <c r="AF3152" s="52">
        <f t="shared" si="293"/>
        <v>0.20994013626720223</v>
      </c>
    </row>
    <row r="3153" spans="30:32">
      <c r="AD3153" s="50">
        <v>365.2</v>
      </c>
      <c r="AE3153" s="51">
        <v>60.783000000000001</v>
      </c>
      <c r="AF3153" s="52">
        <f t="shared" si="293"/>
        <v>0.21621786872970733</v>
      </c>
    </row>
    <row r="3154" spans="30:32">
      <c r="AD3154" s="50">
        <v>365.1</v>
      </c>
      <c r="AE3154" s="51">
        <v>59.942999999999998</v>
      </c>
      <c r="AF3154" s="52">
        <f t="shared" si="293"/>
        <v>0.22226152547375563</v>
      </c>
    </row>
    <row r="3155" spans="30:32">
      <c r="AD3155" s="50">
        <v>365</v>
      </c>
      <c r="AE3155" s="51">
        <v>59.107999999999997</v>
      </c>
      <c r="AF3155" s="52">
        <f t="shared" si="293"/>
        <v>0.22835373535012443</v>
      </c>
    </row>
    <row r="3156" spans="30:32">
      <c r="AD3156" s="50">
        <v>364.9</v>
      </c>
      <c r="AE3156" s="51">
        <v>58.384999999999998</v>
      </c>
      <c r="AF3156" s="52">
        <f t="shared" si="293"/>
        <v>0.23369871545581342</v>
      </c>
    </row>
    <row r="3157" spans="30:32">
      <c r="AD3157" s="50">
        <v>364.8</v>
      </c>
      <c r="AE3157" s="51">
        <v>57.673999999999999</v>
      </c>
      <c r="AF3157" s="52">
        <f t="shared" si="293"/>
        <v>0.23901992690217816</v>
      </c>
    </row>
    <row r="3158" spans="30:32">
      <c r="AD3158" s="50">
        <v>364.7</v>
      </c>
      <c r="AE3158" s="51">
        <v>57.048999999999999</v>
      </c>
      <c r="AF3158" s="52">
        <f t="shared" si="293"/>
        <v>0.24375196383626985</v>
      </c>
    </row>
    <row r="3159" spans="30:32">
      <c r="AD3159" s="50">
        <v>364.6</v>
      </c>
      <c r="AE3159" s="51">
        <v>56.329000000000001</v>
      </c>
      <c r="AF3159" s="52">
        <f t="shared" si="293"/>
        <v>0.24926795865878845</v>
      </c>
    </row>
    <row r="3160" spans="30:32">
      <c r="AD3160" s="50">
        <v>364.5</v>
      </c>
      <c r="AE3160" s="51">
        <v>55.692</v>
      </c>
      <c r="AF3160" s="52">
        <f t="shared" si="293"/>
        <v>0.2542071855333452</v>
      </c>
    </row>
    <row r="3161" spans="30:32">
      <c r="AD3161" s="50">
        <v>364.4</v>
      </c>
      <c r="AE3161" s="51">
        <v>55.052</v>
      </c>
      <c r="AF3161" s="52">
        <f t="shared" si="293"/>
        <v>0.25922689879602584</v>
      </c>
    </row>
    <row r="3162" spans="30:32">
      <c r="AD3162" s="50">
        <v>364.3</v>
      </c>
      <c r="AE3162" s="51">
        <v>54.418999999999997</v>
      </c>
      <c r="AF3162" s="52">
        <f t="shared" si="293"/>
        <v>0.26424944305005316</v>
      </c>
    </row>
    <row r="3163" spans="30:32">
      <c r="AD3163" s="50">
        <v>364.2</v>
      </c>
      <c r="AE3163" s="51">
        <v>53.665999999999997</v>
      </c>
      <c r="AF3163" s="52">
        <f t="shared" si="293"/>
        <v>0.27030077368383026</v>
      </c>
    </row>
    <row r="3164" spans="30:32">
      <c r="AD3164" s="50">
        <v>364.1</v>
      </c>
      <c r="AE3164" s="51">
        <v>52.918999999999997</v>
      </c>
      <c r="AF3164" s="52">
        <f t="shared" si="293"/>
        <v>0.27638837118493853</v>
      </c>
    </row>
    <row r="3165" spans="30:32">
      <c r="AD3165" s="50">
        <v>364</v>
      </c>
      <c r="AE3165" s="51">
        <v>52.186999999999998</v>
      </c>
      <c r="AF3165" s="52">
        <f t="shared" si="293"/>
        <v>0.28243766809747117</v>
      </c>
    </row>
    <row r="3166" spans="30:32">
      <c r="AD3166" s="50">
        <v>363.9</v>
      </c>
      <c r="AE3166" s="51">
        <v>51.331000000000003</v>
      </c>
      <c r="AF3166" s="52">
        <f t="shared" si="293"/>
        <v>0.2896202749901326</v>
      </c>
    </row>
    <row r="3167" spans="30:32">
      <c r="AD3167" s="50">
        <v>363.8</v>
      </c>
      <c r="AE3167" s="51">
        <v>50.451000000000001</v>
      </c>
      <c r="AF3167" s="52">
        <f t="shared" si="293"/>
        <v>0.29713022109847298</v>
      </c>
    </row>
    <row r="3168" spans="30:32">
      <c r="AD3168" s="50">
        <v>363.7</v>
      </c>
      <c r="AE3168" s="51">
        <v>49.564999999999998</v>
      </c>
      <c r="AF3168" s="52">
        <f t="shared" si="293"/>
        <v>0.30482488948565672</v>
      </c>
    </row>
    <row r="3169" spans="30:32">
      <c r="AD3169" s="50">
        <v>363.6</v>
      </c>
      <c r="AE3169" s="51">
        <v>48.524999999999999</v>
      </c>
      <c r="AF3169" s="52">
        <f t="shared" si="293"/>
        <v>0.31403445593959961</v>
      </c>
    </row>
    <row r="3170" spans="30:32">
      <c r="AD3170" s="50">
        <v>363.5</v>
      </c>
      <c r="AE3170" s="51">
        <v>47.514000000000003</v>
      </c>
      <c r="AF3170" s="52">
        <f t="shared" si="293"/>
        <v>0.32317840665082653</v>
      </c>
    </row>
    <row r="3171" spans="30:32">
      <c r="AD3171" s="50">
        <v>363.4</v>
      </c>
      <c r="AE3171" s="51">
        <v>46.371000000000002</v>
      </c>
      <c r="AF3171" s="52">
        <f t="shared" si="293"/>
        <v>0.3337535383548092</v>
      </c>
    </row>
    <row r="3172" spans="30:32">
      <c r="AD3172" s="50">
        <v>363.3</v>
      </c>
      <c r="AE3172" s="51">
        <v>45.262999999999998</v>
      </c>
      <c r="AF3172" s="52">
        <f t="shared" si="293"/>
        <v>0.34425666469265448</v>
      </c>
    </row>
    <row r="3173" spans="30:32">
      <c r="AD3173" s="50">
        <v>363.2</v>
      </c>
      <c r="AE3173" s="51">
        <v>44.000999999999998</v>
      </c>
      <c r="AF3173" s="52">
        <f t="shared" si="293"/>
        <v>0.35653745329683956</v>
      </c>
    </row>
    <row r="3174" spans="30:32">
      <c r="AD3174" s="50">
        <v>363.1</v>
      </c>
      <c r="AE3174" s="51">
        <v>42.764000000000003</v>
      </c>
      <c r="AF3174" s="52">
        <f t="shared" si="293"/>
        <v>0.36892167912555601</v>
      </c>
    </row>
    <row r="3175" spans="30:32">
      <c r="AD3175" s="50">
        <v>363</v>
      </c>
      <c r="AE3175" s="51">
        <v>41.445</v>
      </c>
      <c r="AF3175" s="52">
        <f t="shared" si="293"/>
        <v>0.38252785602780742</v>
      </c>
    </row>
    <row r="3176" spans="30:32">
      <c r="AD3176" s="50">
        <v>362.9</v>
      </c>
      <c r="AE3176" s="51">
        <v>40.029000000000003</v>
      </c>
      <c r="AF3176" s="52">
        <f t="shared" si="293"/>
        <v>0.39762525925553949</v>
      </c>
    </row>
    <row r="3177" spans="30:32">
      <c r="AD3177" s="50">
        <v>362.8</v>
      </c>
      <c r="AE3177" s="51">
        <v>38.591000000000001</v>
      </c>
      <c r="AF3177" s="52">
        <f t="shared" si="293"/>
        <v>0.41351396750647412</v>
      </c>
    </row>
    <row r="3178" spans="30:32">
      <c r="AD3178" s="50">
        <v>362.7</v>
      </c>
      <c r="AE3178" s="51">
        <v>37.146999999999998</v>
      </c>
      <c r="AF3178" s="52">
        <f t="shared" si="293"/>
        <v>0.43007625420636347</v>
      </c>
    </row>
    <row r="3179" spans="30:32">
      <c r="AD3179" s="50">
        <v>362.6</v>
      </c>
      <c r="AE3179" s="51">
        <v>35.549999999999997</v>
      </c>
      <c r="AF3179" s="52">
        <f t="shared" si="293"/>
        <v>0.44916039493421489</v>
      </c>
    </row>
    <row r="3180" spans="30:32">
      <c r="AD3180" s="50">
        <v>362.5</v>
      </c>
      <c r="AE3180" s="51">
        <v>33.866999999999997</v>
      </c>
      <c r="AF3180" s="52">
        <f t="shared" si="293"/>
        <v>0.47022327224081084</v>
      </c>
    </row>
    <row r="3181" spans="30:32">
      <c r="AD3181" s="50">
        <v>362.4</v>
      </c>
      <c r="AE3181" s="51">
        <v>32.204000000000001</v>
      </c>
      <c r="AF3181" s="52">
        <f t="shared" si="293"/>
        <v>0.49209018202971888</v>
      </c>
    </row>
    <row r="3182" spans="30:32">
      <c r="AD3182" s="50">
        <v>362.3</v>
      </c>
      <c r="AE3182" s="51">
        <v>30.475999999999999</v>
      </c>
      <c r="AF3182" s="52">
        <f t="shared" si="293"/>
        <v>0.51604203509902635</v>
      </c>
    </row>
    <row r="3183" spans="30:32">
      <c r="AD3183" s="50">
        <v>362.2</v>
      </c>
      <c r="AE3183" s="51">
        <v>28.62</v>
      </c>
      <c r="AF3183" s="52">
        <f t="shared" si="293"/>
        <v>0.54333037057624245</v>
      </c>
    </row>
    <row r="3184" spans="30:32">
      <c r="AD3184" s="50">
        <v>362.1</v>
      </c>
      <c r="AE3184" s="51">
        <v>26.597000000000001</v>
      </c>
      <c r="AF3184" s="52">
        <f t="shared" si="293"/>
        <v>0.5751673467118692</v>
      </c>
    </row>
    <row r="3185" spans="30:32">
      <c r="AD3185" s="50">
        <v>362</v>
      </c>
      <c r="AE3185" s="51">
        <v>24.643999999999998</v>
      </c>
      <c r="AF3185" s="52">
        <f t="shared" si="293"/>
        <v>0.60828879987862805</v>
      </c>
    </row>
    <row r="3186" spans="30:32">
      <c r="AD3186" s="50">
        <v>361.9</v>
      </c>
      <c r="AE3186" s="51">
        <v>22.58</v>
      </c>
      <c r="AF3186" s="52">
        <f t="shared" si="293"/>
        <v>0.64627606241105096</v>
      </c>
    </row>
    <row r="3187" spans="30:32">
      <c r="AD3187" s="50">
        <v>361.8</v>
      </c>
      <c r="AE3187" s="51">
        <v>20.52</v>
      </c>
      <c r="AF3187" s="52">
        <f t="shared" si="293"/>
        <v>0.68782264356022138</v>
      </c>
    </row>
    <row r="3188" spans="30:32">
      <c r="AD3188" s="50">
        <v>361.7</v>
      </c>
      <c r="AE3188" s="51">
        <v>18.41</v>
      </c>
      <c r="AF3188" s="52">
        <f t="shared" si="293"/>
        <v>0.73494621149598527</v>
      </c>
    </row>
    <row r="3189" spans="30:32">
      <c r="AD3189" s="50">
        <v>361.6</v>
      </c>
      <c r="AE3189" s="51">
        <v>16.393000000000001</v>
      </c>
      <c r="AF3189" s="52">
        <f t="shared" si="293"/>
        <v>0.78534156112008158</v>
      </c>
    </row>
    <row r="3190" spans="30:32">
      <c r="AD3190" s="50">
        <v>361.5</v>
      </c>
      <c r="AE3190" s="51">
        <v>14.523</v>
      </c>
      <c r="AF3190" s="52">
        <f t="shared" si="293"/>
        <v>0.83794366263944786</v>
      </c>
    </row>
    <row r="3191" spans="30:32">
      <c r="AD3191" s="50">
        <v>361.4</v>
      </c>
      <c r="AE3191" s="51">
        <v>12.840999999999999</v>
      </c>
      <c r="AF3191" s="52">
        <f t="shared" si="293"/>
        <v>0.89140115402643327</v>
      </c>
    </row>
    <row r="3192" spans="30:32">
      <c r="AD3192" s="50">
        <v>361.3</v>
      </c>
      <c r="AE3192" s="51">
        <v>11.365</v>
      </c>
      <c r="AF3192" s="52">
        <f t="shared" si="293"/>
        <v>0.94443055993901037</v>
      </c>
    </row>
    <row r="3193" spans="30:32">
      <c r="AD3193" s="50">
        <v>361.2</v>
      </c>
      <c r="AE3193" s="51">
        <v>10.079000000000001</v>
      </c>
      <c r="AF3193" s="52">
        <f t="shared" si="293"/>
        <v>0.99658255479780633</v>
      </c>
    </row>
    <row r="3194" spans="30:32">
      <c r="AD3194" s="50">
        <v>361.1</v>
      </c>
      <c r="AE3194" s="51">
        <v>9.1677</v>
      </c>
      <c r="AF3194" s="52">
        <f t="shared" si="293"/>
        <v>1.037739606816072</v>
      </c>
    </row>
    <row r="3195" spans="30:32">
      <c r="AD3195" s="50">
        <v>361</v>
      </c>
      <c r="AE3195" s="51">
        <v>8.5813000000000006</v>
      </c>
      <c r="AF3195" s="52">
        <f t="shared" si="293"/>
        <v>1.0664469149415781</v>
      </c>
    </row>
    <row r="3196" spans="30:32">
      <c r="AD3196" s="50">
        <v>360.9</v>
      </c>
      <c r="AE3196" s="51">
        <v>8.3194999999999997</v>
      </c>
      <c r="AF3196" s="52">
        <f t="shared" si="293"/>
        <v>1.0799027739215441</v>
      </c>
    </row>
    <row r="3197" spans="30:32">
      <c r="AD3197" s="50">
        <v>360.8</v>
      </c>
      <c r="AE3197" s="51">
        <v>8.4139999999999997</v>
      </c>
      <c r="AF3197" s="52">
        <f t="shared" si="293"/>
        <v>1.0749974923190224</v>
      </c>
    </row>
    <row r="3198" spans="30:32">
      <c r="AD3198" s="50">
        <v>360.7</v>
      </c>
      <c r="AE3198" s="51">
        <v>8.8835999999999995</v>
      </c>
      <c r="AF3198" s="52">
        <f t="shared" si="293"/>
        <v>1.0514110045701732</v>
      </c>
    </row>
    <row r="3199" spans="30:32">
      <c r="AD3199" s="50">
        <v>360.6</v>
      </c>
      <c r="AE3199" s="51">
        <v>9.7049000000000003</v>
      </c>
      <c r="AF3199" s="52">
        <f t="shared" si="293"/>
        <v>1.0130089352546952</v>
      </c>
    </row>
    <row r="3200" spans="30:32">
      <c r="AD3200" s="50">
        <v>360.5</v>
      </c>
      <c r="AE3200" s="51">
        <v>10.847</v>
      </c>
      <c r="AF3200" s="52">
        <f t="shared" si="293"/>
        <v>0.96469035984319862</v>
      </c>
    </row>
    <row r="3201" spans="30:32">
      <c r="AD3201" s="50">
        <v>360.4</v>
      </c>
      <c r="AE3201" s="51">
        <v>12.375</v>
      </c>
      <c r="AF3201" s="52">
        <f t="shared" si="293"/>
        <v>0.90745479239439364</v>
      </c>
    </row>
    <row r="3202" spans="30:32">
      <c r="AD3202" s="50">
        <v>360.3</v>
      </c>
      <c r="AE3202" s="51">
        <v>14.218999999999999</v>
      </c>
      <c r="AF3202" s="52">
        <f t="shared" si="293"/>
        <v>0.84713094578298753</v>
      </c>
    </row>
    <row r="3203" spans="30:32">
      <c r="AD3203" s="50">
        <v>360.2</v>
      </c>
      <c r="AE3203" s="51">
        <v>16.350999999999999</v>
      </c>
      <c r="AF3203" s="52">
        <f t="shared" si="293"/>
        <v>0.78645568146233324</v>
      </c>
    </row>
    <row r="3204" spans="30:32">
      <c r="AD3204" s="50">
        <v>360.1</v>
      </c>
      <c r="AE3204" s="51">
        <v>18.558</v>
      </c>
      <c r="AF3204" s="52">
        <f t="shared" si="293"/>
        <v>0.73146882961317738</v>
      </c>
    </row>
    <row r="3205" spans="30:32">
      <c r="AD3205" s="50">
        <v>360</v>
      </c>
      <c r="AE3205" s="51">
        <v>20.995999999999999</v>
      </c>
      <c r="AF3205" s="52">
        <f t="shared" ref="AF3205:AF3268" si="294">-LOG(AE3205/100)</f>
        <v>0.67786343590389708</v>
      </c>
    </row>
    <row r="3206" spans="30:32">
      <c r="AD3206" s="50">
        <v>359.9</v>
      </c>
      <c r="AE3206" s="51">
        <v>23.666</v>
      </c>
      <c r="AF3206" s="52">
        <f t="shared" si="294"/>
        <v>0.62587513982027287</v>
      </c>
    </row>
    <row r="3207" spans="30:32">
      <c r="AD3207" s="50">
        <v>359.8</v>
      </c>
      <c r="AE3207" s="51">
        <v>26.481999999999999</v>
      </c>
      <c r="AF3207" s="52">
        <f t="shared" si="294"/>
        <v>0.57704921877298121</v>
      </c>
    </row>
    <row r="3208" spans="30:32">
      <c r="AD3208" s="50">
        <v>359.7</v>
      </c>
      <c r="AE3208" s="51">
        <v>29.14</v>
      </c>
      <c r="AF3208" s="52">
        <f t="shared" si="294"/>
        <v>0.53551045256602869</v>
      </c>
    </row>
    <row r="3209" spans="30:32">
      <c r="AD3209" s="50">
        <v>359.6</v>
      </c>
      <c r="AE3209" s="51">
        <v>32.018000000000001</v>
      </c>
      <c r="AF3209" s="52">
        <f t="shared" si="294"/>
        <v>0.49460579971501345</v>
      </c>
    </row>
    <row r="3210" spans="30:32">
      <c r="AD3210" s="50">
        <v>359.5</v>
      </c>
      <c r="AE3210" s="51">
        <v>34.835000000000001</v>
      </c>
      <c r="AF3210" s="52">
        <f t="shared" si="294"/>
        <v>0.45798418512941191</v>
      </c>
    </row>
    <row r="3211" spans="30:32">
      <c r="AD3211" s="50">
        <v>359.4</v>
      </c>
      <c r="AE3211" s="51">
        <v>37.770000000000003</v>
      </c>
      <c r="AF3211" s="52">
        <f t="shared" si="294"/>
        <v>0.42285301517247492</v>
      </c>
    </row>
    <row r="3212" spans="30:32">
      <c r="AD3212" s="50">
        <v>359.3</v>
      </c>
      <c r="AE3212" s="51">
        <v>40.469000000000001</v>
      </c>
      <c r="AF3212" s="52">
        <f t="shared" si="294"/>
        <v>0.39287752701064799</v>
      </c>
    </row>
    <row r="3213" spans="30:32">
      <c r="AD3213" s="50">
        <v>359.2</v>
      </c>
      <c r="AE3213" s="51">
        <v>43.078000000000003</v>
      </c>
      <c r="AF3213" s="52">
        <f t="shared" si="294"/>
        <v>0.3657444680743035</v>
      </c>
    </row>
    <row r="3214" spans="30:32">
      <c r="AD3214" s="50">
        <v>359.1</v>
      </c>
      <c r="AE3214" s="51">
        <v>45.6</v>
      </c>
      <c r="AF3214" s="52">
        <f t="shared" si="294"/>
        <v>0.341035157335565</v>
      </c>
    </row>
    <row r="3215" spans="30:32">
      <c r="AD3215" s="50">
        <v>359</v>
      </c>
      <c r="AE3215" s="51">
        <v>48.174999999999997</v>
      </c>
      <c r="AF3215" s="52">
        <f t="shared" si="294"/>
        <v>0.31717827667250947</v>
      </c>
    </row>
    <row r="3216" spans="30:32">
      <c r="AD3216" s="50">
        <v>358.9</v>
      </c>
      <c r="AE3216" s="51">
        <v>50.533999999999999</v>
      </c>
      <c r="AF3216" s="52">
        <f t="shared" si="294"/>
        <v>0.29641632398276768</v>
      </c>
    </row>
    <row r="3217" spans="30:32">
      <c r="AD3217" s="50">
        <v>358.8</v>
      </c>
      <c r="AE3217" s="51">
        <v>52.691000000000003</v>
      </c>
      <c r="AF3217" s="52">
        <f t="shared" si="294"/>
        <v>0.2782635590593861</v>
      </c>
    </row>
    <row r="3218" spans="30:32">
      <c r="AD3218" s="50">
        <v>358.7</v>
      </c>
      <c r="AE3218" s="51">
        <v>54.56</v>
      </c>
      <c r="AF3218" s="52">
        <f t="shared" si="294"/>
        <v>0.26312563835157754</v>
      </c>
    </row>
    <row r="3219" spans="30:32">
      <c r="AD3219" s="50">
        <v>358.6</v>
      </c>
      <c r="AE3219" s="51">
        <v>56.484000000000002</v>
      </c>
      <c r="AF3219" s="52">
        <f t="shared" si="294"/>
        <v>0.24807455564577605</v>
      </c>
    </row>
    <row r="3220" spans="30:32">
      <c r="AD3220" s="50">
        <v>358.5</v>
      </c>
      <c r="AE3220" s="51">
        <v>58.225000000000001</v>
      </c>
      <c r="AF3220" s="52">
        <f t="shared" si="294"/>
        <v>0.23489050279328166</v>
      </c>
    </row>
    <row r="3221" spans="30:32">
      <c r="AD3221" s="50">
        <v>358.4</v>
      </c>
      <c r="AE3221" s="51">
        <v>59.87</v>
      </c>
      <c r="AF3221" s="52">
        <f t="shared" si="294"/>
        <v>0.22279074185431516</v>
      </c>
    </row>
    <row r="3222" spans="30:32">
      <c r="AD3222" s="50">
        <v>358.3</v>
      </c>
      <c r="AE3222" s="51">
        <v>61.344999999999999</v>
      </c>
      <c r="AF3222" s="52">
        <f t="shared" si="294"/>
        <v>0.2122208292026882</v>
      </c>
    </row>
    <row r="3223" spans="30:32">
      <c r="AD3223" s="50">
        <v>358.2</v>
      </c>
      <c r="AE3223" s="51">
        <v>62.734999999999999</v>
      </c>
      <c r="AF3223" s="52">
        <f t="shared" si="294"/>
        <v>0.20249009767111964</v>
      </c>
    </row>
    <row r="3224" spans="30:32">
      <c r="AD3224" s="50">
        <v>358.1</v>
      </c>
      <c r="AE3224" s="51">
        <v>64.13</v>
      </c>
      <c r="AF3224" s="52">
        <f t="shared" si="294"/>
        <v>0.1929387600827609</v>
      </c>
    </row>
    <row r="3225" spans="30:32">
      <c r="AD3225" s="50">
        <v>358</v>
      </c>
      <c r="AE3225" s="51">
        <v>65.424999999999997</v>
      </c>
      <c r="AF3225" s="52">
        <f t="shared" si="294"/>
        <v>0.18425626868808143</v>
      </c>
    </row>
    <row r="3226" spans="30:32">
      <c r="AD3226" s="50">
        <v>357.9</v>
      </c>
      <c r="AE3226" s="51">
        <v>66.608000000000004</v>
      </c>
      <c r="AF3226" s="52">
        <f t="shared" si="294"/>
        <v>0.17647360645729782</v>
      </c>
    </row>
    <row r="3227" spans="30:32">
      <c r="AD3227" s="50">
        <v>357.8</v>
      </c>
      <c r="AE3227" s="51">
        <v>67.775000000000006</v>
      </c>
      <c r="AF3227" s="52">
        <f t="shared" si="294"/>
        <v>0.1689304737474768</v>
      </c>
    </row>
    <row r="3228" spans="30:32">
      <c r="AD3228" s="50">
        <v>357.7</v>
      </c>
      <c r="AE3228" s="51">
        <v>68.885000000000005</v>
      </c>
      <c r="AF3228" s="52">
        <f t="shared" si="294"/>
        <v>0.1618753372570769</v>
      </c>
    </row>
    <row r="3229" spans="30:32">
      <c r="AD3229" s="50">
        <v>357.6</v>
      </c>
      <c r="AE3229" s="51">
        <v>70.043999999999997</v>
      </c>
      <c r="AF3229" s="52">
        <f t="shared" si="294"/>
        <v>0.15462906064221527</v>
      </c>
    </row>
    <row r="3230" spans="30:32">
      <c r="AD3230" s="50">
        <v>357.5</v>
      </c>
      <c r="AE3230" s="51">
        <v>71.113</v>
      </c>
      <c r="AF3230" s="52">
        <f t="shared" si="294"/>
        <v>0.1480509996614712</v>
      </c>
    </row>
    <row r="3231" spans="30:32">
      <c r="AD3231" s="50">
        <v>357.4</v>
      </c>
      <c r="AE3231" s="51">
        <v>72.102999999999994</v>
      </c>
      <c r="AF3231" s="52">
        <f t="shared" si="294"/>
        <v>0.14204666515101894</v>
      </c>
    </row>
    <row r="3232" spans="30:32">
      <c r="AD3232" s="50">
        <v>357.3</v>
      </c>
      <c r="AE3232" s="51">
        <v>73.040000000000006</v>
      </c>
      <c r="AF3232" s="52">
        <f t="shared" si="294"/>
        <v>0.13643923547375744</v>
      </c>
    </row>
    <row r="3233" spans="30:32">
      <c r="AD3233" s="50">
        <v>357.2</v>
      </c>
      <c r="AE3233" s="51">
        <v>73.924999999999997</v>
      </c>
      <c r="AF3233" s="52">
        <f t="shared" si="294"/>
        <v>0.13120866680184479</v>
      </c>
    </row>
    <row r="3234" spans="30:32">
      <c r="AD3234" s="50">
        <v>357.1</v>
      </c>
      <c r="AE3234" s="51">
        <v>74.778000000000006</v>
      </c>
      <c r="AF3234" s="52">
        <f t="shared" si="294"/>
        <v>0.12622615459473402</v>
      </c>
    </row>
    <row r="3235" spans="30:32">
      <c r="AD3235" s="50">
        <v>357</v>
      </c>
      <c r="AE3235" s="51">
        <v>75.510000000000005</v>
      </c>
      <c r="AF3235" s="52">
        <f t="shared" si="294"/>
        <v>0.12199552973197479</v>
      </c>
    </row>
    <row r="3236" spans="30:32">
      <c r="AD3236" s="50">
        <v>356.9</v>
      </c>
      <c r="AE3236" s="51">
        <v>76.180999999999997</v>
      </c>
      <c r="AF3236" s="52">
        <f t="shared" si="294"/>
        <v>0.11815333081354097</v>
      </c>
    </row>
    <row r="3237" spans="30:32">
      <c r="AD3237" s="50">
        <v>356.8</v>
      </c>
      <c r="AE3237" s="51">
        <v>76.843000000000004</v>
      </c>
      <c r="AF3237" s="52">
        <f t="shared" si="294"/>
        <v>0.11439568834427578</v>
      </c>
    </row>
    <row r="3238" spans="30:32">
      <c r="AD3238" s="50">
        <v>356.7</v>
      </c>
      <c r="AE3238" s="51">
        <v>77.358000000000004</v>
      </c>
      <c r="AF3238" s="52">
        <f t="shared" si="294"/>
        <v>0.11149476695235412</v>
      </c>
    </row>
    <row r="3239" spans="30:32">
      <c r="AD3239" s="50">
        <v>356.6</v>
      </c>
      <c r="AE3239" s="51">
        <v>77.858000000000004</v>
      </c>
      <c r="AF3239" s="52">
        <f t="shared" si="294"/>
        <v>0.10869675654027885</v>
      </c>
    </row>
    <row r="3240" spans="30:32">
      <c r="AD3240" s="50">
        <v>356.5</v>
      </c>
      <c r="AE3240" s="51">
        <v>78.304000000000002</v>
      </c>
      <c r="AF3240" s="52">
        <f t="shared" si="294"/>
        <v>0.10621605232830479</v>
      </c>
    </row>
    <row r="3241" spans="30:32">
      <c r="AD3241" s="50">
        <v>356.4</v>
      </c>
      <c r="AE3241" s="51">
        <v>78.739000000000004</v>
      </c>
      <c r="AF3241" s="52">
        <f t="shared" si="294"/>
        <v>0.10381010513176463</v>
      </c>
    </row>
    <row r="3242" spans="30:32">
      <c r="AD3242" s="50">
        <v>356.3</v>
      </c>
      <c r="AE3242" s="51">
        <v>79.099999999999994</v>
      </c>
      <c r="AF3242" s="52">
        <f t="shared" si="294"/>
        <v>0.10182351650232349</v>
      </c>
    </row>
    <row r="3243" spans="30:32">
      <c r="AD3243" s="50">
        <v>356.2</v>
      </c>
      <c r="AE3243" s="51">
        <v>79.489000000000004</v>
      </c>
      <c r="AF3243" s="52">
        <f t="shared" si="294"/>
        <v>9.9692966561545471E-2</v>
      </c>
    </row>
    <row r="3244" spans="30:32">
      <c r="AD3244" s="50">
        <v>356.1</v>
      </c>
      <c r="AE3244" s="51">
        <v>79.870999999999995</v>
      </c>
      <c r="AF3244" s="52">
        <f t="shared" si="294"/>
        <v>9.7610878084579189E-2</v>
      </c>
    </row>
    <row r="3245" spans="30:32">
      <c r="AD3245" s="50">
        <v>356</v>
      </c>
      <c r="AE3245" s="51">
        <v>80.2</v>
      </c>
      <c r="AF3245" s="52">
        <f t="shared" si="294"/>
        <v>9.5825631715836468E-2</v>
      </c>
    </row>
    <row r="3246" spans="30:32">
      <c r="AD3246" s="50">
        <v>355.9</v>
      </c>
      <c r="AE3246" s="51">
        <v>80.48</v>
      </c>
      <c r="AF3246" s="52">
        <f t="shared" si="294"/>
        <v>9.4312032288147787E-2</v>
      </c>
    </row>
    <row r="3247" spans="30:32">
      <c r="AD3247" s="50">
        <v>355.8</v>
      </c>
      <c r="AE3247" s="51">
        <v>80.706000000000003</v>
      </c>
      <c r="AF3247" s="52">
        <f t="shared" si="294"/>
        <v>9.3094176925667335E-2</v>
      </c>
    </row>
    <row r="3248" spans="30:32">
      <c r="AD3248" s="50">
        <v>355.7</v>
      </c>
      <c r="AE3248" s="51">
        <v>81.034999999999997</v>
      </c>
      <c r="AF3248" s="52">
        <f t="shared" si="294"/>
        <v>9.1327363543629192E-2</v>
      </c>
    </row>
    <row r="3249" spans="30:32">
      <c r="AD3249" s="50">
        <v>355.6</v>
      </c>
      <c r="AE3249" s="51">
        <v>81.299000000000007</v>
      </c>
      <c r="AF3249" s="52">
        <f t="shared" si="294"/>
        <v>8.991479631433108E-2</v>
      </c>
    </row>
    <row r="3250" spans="30:32">
      <c r="AD3250" s="50">
        <v>355.5</v>
      </c>
      <c r="AE3250" s="51">
        <v>81.498000000000005</v>
      </c>
      <c r="AF3250" s="52">
        <f t="shared" si="294"/>
        <v>8.885304892409103E-2</v>
      </c>
    </row>
    <row r="3251" spans="30:32">
      <c r="AD3251" s="50">
        <v>355.4</v>
      </c>
      <c r="AE3251" s="51">
        <v>81.694000000000003</v>
      </c>
      <c r="AF3251" s="52">
        <f t="shared" si="294"/>
        <v>8.7809838970388659E-2</v>
      </c>
    </row>
    <row r="3252" spans="30:32">
      <c r="AD3252" s="50">
        <v>355.3</v>
      </c>
      <c r="AE3252" s="51">
        <v>81.838999999999999</v>
      </c>
      <c r="AF3252" s="52">
        <f t="shared" si="294"/>
        <v>8.703968595688405E-2</v>
      </c>
    </row>
    <row r="3253" spans="30:32">
      <c r="AD3253" s="50">
        <v>355.2</v>
      </c>
      <c r="AE3253" s="51">
        <v>81.957999999999998</v>
      </c>
      <c r="AF3253" s="52">
        <f t="shared" si="294"/>
        <v>8.6408648118105877E-2</v>
      </c>
    </row>
    <row r="3254" spans="30:32">
      <c r="AD3254" s="50">
        <v>355.1</v>
      </c>
      <c r="AE3254" s="51">
        <v>82.128</v>
      </c>
      <c r="AF3254" s="52">
        <f t="shared" si="294"/>
        <v>8.5508753083312503E-2</v>
      </c>
    </row>
    <row r="3255" spans="30:32">
      <c r="AD3255" s="50">
        <v>355</v>
      </c>
      <c r="AE3255" s="51">
        <v>82.201999999999998</v>
      </c>
      <c r="AF3255" s="52">
        <f t="shared" si="294"/>
        <v>8.5117615812781697E-2</v>
      </c>
    </row>
    <row r="3256" spans="30:32">
      <c r="AD3256" s="50">
        <v>354.9</v>
      </c>
      <c r="AE3256" s="51">
        <v>82.230999999999995</v>
      </c>
      <c r="AF3256" s="52">
        <f t="shared" si="294"/>
        <v>8.496442831263544E-2</v>
      </c>
    </row>
    <row r="3257" spans="30:32">
      <c r="AD3257" s="50">
        <v>354.8</v>
      </c>
      <c r="AE3257" s="51">
        <v>82.298000000000002</v>
      </c>
      <c r="AF3257" s="52">
        <f t="shared" si="294"/>
        <v>8.4610718852346348E-2</v>
      </c>
    </row>
    <row r="3258" spans="30:32">
      <c r="AD3258" s="50">
        <v>354.7</v>
      </c>
      <c r="AE3258" s="51">
        <v>82.370999999999995</v>
      </c>
      <c r="AF3258" s="52">
        <f t="shared" si="294"/>
        <v>8.4225661564626172E-2</v>
      </c>
    </row>
    <row r="3259" spans="30:32">
      <c r="AD3259" s="50">
        <v>354.6</v>
      </c>
      <c r="AE3259" s="51">
        <v>82.319000000000003</v>
      </c>
      <c r="AF3259" s="52">
        <f t="shared" si="294"/>
        <v>8.4499913963793652E-2</v>
      </c>
    </row>
    <row r="3260" spans="30:32">
      <c r="AD3260" s="50">
        <v>354.5</v>
      </c>
      <c r="AE3260" s="51">
        <v>82.26</v>
      </c>
      <c r="AF3260" s="52">
        <f t="shared" si="294"/>
        <v>8.4811294826843714E-2</v>
      </c>
    </row>
    <row r="3261" spans="30:32">
      <c r="AD3261" s="50">
        <v>354.4</v>
      </c>
      <c r="AE3261" s="51">
        <v>82.191000000000003</v>
      </c>
      <c r="AF3261" s="52">
        <f t="shared" si="294"/>
        <v>8.5175735553987997E-2</v>
      </c>
    </row>
    <row r="3262" spans="30:32">
      <c r="AD3262" s="50">
        <v>354.3</v>
      </c>
      <c r="AE3262" s="51">
        <v>82.167000000000002</v>
      </c>
      <c r="AF3262" s="52">
        <f t="shared" si="294"/>
        <v>8.5302569266247352E-2</v>
      </c>
    </row>
    <row r="3263" spans="30:32">
      <c r="AD3263" s="50">
        <v>354.2</v>
      </c>
      <c r="AE3263" s="51">
        <v>82.096000000000004</v>
      </c>
      <c r="AF3263" s="52">
        <f t="shared" si="294"/>
        <v>8.5678002688690427E-2</v>
      </c>
    </row>
    <row r="3264" spans="30:32">
      <c r="AD3264" s="50">
        <v>354.1</v>
      </c>
      <c r="AE3264" s="51">
        <v>81.992999999999995</v>
      </c>
      <c r="AF3264" s="52">
        <f t="shared" si="294"/>
        <v>8.6223223117983652E-2</v>
      </c>
    </row>
    <row r="3265" spans="30:32">
      <c r="AD3265" s="50">
        <v>354</v>
      </c>
      <c r="AE3265" s="51">
        <v>81.936999999999998</v>
      </c>
      <c r="AF3265" s="52">
        <f t="shared" si="294"/>
        <v>8.6519941130948019E-2</v>
      </c>
    </row>
    <row r="3266" spans="30:32">
      <c r="AD3266" s="50">
        <v>353.9</v>
      </c>
      <c r="AE3266" s="51">
        <v>81.887</v>
      </c>
      <c r="AF3266" s="52">
        <f t="shared" si="294"/>
        <v>8.6785039343290599E-2</v>
      </c>
    </row>
    <row r="3267" spans="30:32">
      <c r="AD3267" s="50">
        <v>353.8</v>
      </c>
      <c r="AE3267" s="51">
        <v>81.861000000000004</v>
      </c>
      <c r="AF3267" s="52">
        <f t="shared" si="294"/>
        <v>8.6922954391100329E-2</v>
      </c>
    </row>
    <row r="3268" spans="30:32">
      <c r="AD3268" s="50">
        <v>353.7</v>
      </c>
      <c r="AE3268" s="51">
        <v>81.849999999999994</v>
      </c>
      <c r="AF3268" s="52">
        <f t="shared" si="294"/>
        <v>8.6981316252039809E-2</v>
      </c>
    </row>
    <row r="3269" spans="30:32">
      <c r="AD3269" s="50">
        <v>353.6</v>
      </c>
      <c r="AE3269" s="51">
        <v>81.84</v>
      </c>
      <c r="AF3269" s="52">
        <f t="shared" ref="AF3269:AF3332" si="295">-LOG(AE3269/100)</f>
        <v>8.7034379295896247E-2</v>
      </c>
    </row>
    <row r="3270" spans="30:32">
      <c r="AD3270" s="50">
        <v>353.5</v>
      </c>
      <c r="AE3270" s="51">
        <v>81.778000000000006</v>
      </c>
      <c r="AF3270" s="52">
        <f t="shared" si="295"/>
        <v>8.7363514955380792E-2</v>
      </c>
    </row>
    <row r="3271" spans="30:32">
      <c r="AD3271" s="50">
        <v>353.4</v>
      </c>
      <c r="AE3271" s="51">
        <v>81.727999999999994</v>
      </c>
      <c r="AF3271" s="52">
        <f t="shared" si="295"/>
        <v>8.7629128752697599E-2</v>
      </c>
    </row>
    <row r="3272" spans="30:32">
      <c r="AD3272" s="50">
        <v>353.3</v>
      </c>
      <c r="AE3272" s="51">
        <v>81.762</v>
      </c>
      <c r="AF3272" s="52">
        <f t="shared" si="295"/>
        <v>8.7448493697372051E-2</v>
      </c>
    </row>
    <row r="3273" spans="30:32">
      <c r="AD3273" s="50">
        <v>353.2</v>
      </c>
      <c r="AE3273" s="51">
        <v>81.710999999999999</v>
      </c>
      <c r="AF3273" s="52">
        <f t="shared" si="295"/>
        <v>8.7719474462338215E-2</v>
      </c>
    </row>
    <row r="3274" spans="30:32">
      <c r="AD3274" s="50">
        <v>353.1</v>
      </c>
      <c r="AE3274" s="51">
        <v>81.659000000000006</v>
      </c>
      <c r="AF3274" s="52">
        <f t="shared" si="295"/>
        <v>8.7995942771349936E-2</v>
      </c>
    </row>
    <row r="3275" spans="30:32">
      <c r="AD3275" s="50">
        <v>353</v>
      </c>
      <c r="AE3275" s="51">
        <v>81.664000000000001</v>
      </c>
      <c r="AF3275" s="52">
        <f t="shared" si="295"/>
        <v>8.7969351630969292E-2</v>
      </c>
    </row>
    <row r="3276" spans="30:32">
      <c r="AD3276" s="50">
        <v>352.9</v>
      </c>
      <c r="AE3276" s="51">
        <v>81.685000000000002</v>
      </c>
      <c r="AF3276" s="52">
        <f t="shared" si="295"/>
        <v>8.7857686617161868E-2</v>
      </c>
    </row>
    <row r="3277" spans="30:32">
      <c r="AD3277" s="50">
        <v>352.8</v>
      </c>
      <c r="AE3277" s="51">
        <v>81.656999999999996</v>
      </c>
      <c r="AF3277" s="52">
        <f t="shared" si="295"/>
        <v>8.8006579683395925E-2</v>
      </c>
    </row>
    <row r="3278" spans="30:32">
      <c r="AD3278" s="50">
        <v>352.7</v>
      </c>
      <c r="AE3278" s="51">
        <v>81.599000000000004</v>
      </c>
      <c r="AF3278" s="52">
        <f t="shared" si="295"/>
        <v>8.83151635150487E-2</v>
      </c>
    </row>
    <row r="3279" spans="30:32">
      <c r="AD3279" s="50">
        <v>352.6</v>
      </c>
      <c r="AE3279" s="51">
        <v>81.596999999999994</v>
      </c>
      <c r="AF3279" s="52">
        <f t="shared" si="295"/>
        <v>8.8325808248545246E-2</v>
      </c>
    </row>
    <row r="3280" spans="30:32">
      <c r="AD3280" s="50">
        <v>352.5</v>
      </c>
      <c r="AE3280" s="51">
        <v>81.540999999999997</v>
      </c>
      <c r="AF3280" s="52">
        <f t="shared" si="295"/>
        <v>8.8623966763935053E-2</v>
      </c>
    </row>
    <row r="3281" spans="30:32">
      <c r="AD3281" s="50">
        <v>352.4</v>
      </c>
      <c r="AE3281" s="51">
        <v>81.539000000000001</v>
      </c>
      <c r="AF3281" s="52">
        <f t="shared" si="295"/>
        <v>8.863461906910855E-2</v>
      </c>
    </row>
    <row r="3282" spans="30:32">
      <c r="AD3282" s="50">
        <v>352.3</v>
      </c>
      <c r="AE3282" s="51">
        <v>81.498000000000005</v>
      </c>
      <c r="AF3282" s="52">
        <f t="shared" si="295"/>
        <v>8.885304892409103E-2</v>
      </c>
    </row>
    <row r="3283" spans="30:32">
      <c r="AD3283" s="50">
        <v>352.2</v>
      </c>
      <c r="AE3283" s="51">
        <v>81.507000000000005</v>
      </c>
      <c r="AF3283" s="52">
        <f t="shared" si="295"/>
        <v>8.8805091495286967E-2</v>
      </c>
    </row>
    <row r="3284" spans="30:32">
      <c r="AD3284" s="50">
        <v>352.1</v>
      </c>
      <c r="AE3284" s="51">
        <v>81.498999999999995</v>
      </c>
      <c r="AF3284" s="52">
        <f t="shared" si="295"/>
        <v>8.8847720059364602E-2</v>
      </c>
    </row>
    <row r="3285" spans="30:32">
      <c r="AD3285" s="50">
        <v>352</v>
      </c>
      <c r="AE3285" s="51">
        <v>81.504999999999995</v>
      </c>
      <c r="AF3285" s="52">
        <f t="shared" si="295"/>
        <v>8.8815748244039899E-2</v>
      </c>
    </row>
    <row r="3286" spans="30:32">
      <c r="AD3286" s="50">
        <v>351.9</v>
      </c>
      <c r="AE3286" s="51">
        <v>81.605999999999995</v>
      </c>
      <c r="AF3286" s="52">
        <f t="shared" si="295"/>
        <v>8.8277909002317065E-2</v>
      </c>
    </row>
    <row r="3287" spans="30:32">
      <c r="AD3287" s="50">
        <v>351.8</v>
      </c>
      <c r="AE3287" s="51">
        <v>81.596000000000004</v>
      </c>
      <c r="AF3287" s="52">
        <f t="shared" si="295"/>
        <v>8.83311307131351E-2</v>
      </c>
    </row>
    <row r="3288" spans="30:32">
      <c r="AD3288" s="50">
        <v>351.7</v>
      </c>
      <c r="AE3288" s="51">
        <v>81.613</v>
      </c>
      <c r="AF3288" s="52">
        <f t="shared" si="295"/>
        <v>8.8240657685066115E-2</v>
      </c>
    </row>
    <row r="3289" spans="30:32">
      <c r="AD3289" s="50">
        <v>351.6</v>
      </c>
      <c r="AE3289" s="51">
        <v>81.658000000000001</v>
      </c>
      <c r="AF3289" s="52">
        <f t="shared" si="295"/>
        <v>8.8001261194807529E-2</v>
      </c>
    </row>
    <row r="3290" spans="30:32">
      <c r="AD3290" s="50">
        <v>351.5</v>
      </c>
      <c r="AE3290" s="51">
        <v>81.757000000000005</v>
      </c>
      <c r="AF3290" s="52">
        <f t="shared" si="295"/>
        <v>8.7475052964615524E-2</v>
      </c>
    </row>
    <row r="3291" spans="30:32">
      <c r="AD3291" s="50">
        <v>351.4</v>
      </c>
      <c r="AE3291" s="51">
        <v>81.789000000000001</v>
      </c>
      <c r="AF3291" s="52">
        <f t="shared" si="295"/>
        <v>8.7305101714224134E-2</v>
      </c>
    </row>
    <row r="3292" spans="30:32">
      <c r="AD3292" s="50">
        <v>351.3</v>
      </c>
      <c r="AE3292" s="51">
        <v>81.846000000000004</v>
      </c>
      <c r="AF3292" s="52">
        <f t="shared" si="295"/>
        <v>8.7002540691585695E-2</v>
      </c>
    </row>
    <row r="3293" spans="30:32">
      <c r="AD3293" s="50">
        <v>351.2</v>
      </c>
      <c r="AE3293" s="51">
        <v>81.903000000000006</v>
      </c>
      <c r="AF3293" s="52">
        <f t="shared" si="295"/>
        <v>8.6700190308153444E-2</v>
      </c>
    </row>
    <row r="3294" spans="30:32">
      <c r="AD3294" s="50">
        <v>351.1</v>
      </c>
      <c r="AE3294" s="51">
        <v>81.974000000000004</v>
      </c>
      <c r="AF3294" s="52">
        <f t="shared" si="295"/>
        <v>8.63238725802912E-2</v>
      </c>
    </row>
    <row r="3295" spans="30:32">
      <c r="AD3295" s="50">
        <v>351</v>
      </c>
      <c r="AE3295" s="51">
        <v>82.022999999999996</v>
      </c>
      <c r="AF3295" s="52">
        <f t="shared" si="295"/>
        <v>8.6064350390903405E-2</v>
      </c>
    </row>
    <row r="3296" spans="30:32">
      <c r="AD3296" s="50">
        <v>350.9</v>
      </c>
      <c r="AE3296" s="51">
        <v>82.019000000000005</v>
      </c>
      <c r="AF3296" s="52">
        <f t="shared" si="295"/>
        <v>8.6085530063523263E-2</v>
      </c>
    </row>
    <row r="3297" spans="30:32">
      <c r="AD3297" s="50">
        <v>350.8</v>
      </c>
      <c r="AE3297" s="51">
        <v>82.066999999999993</v>
      </c>
      <c r="AF3297" s="52">
        <f t="shared" si="295"/>
        <v>8.583144213736292E-2</v>
      </c>
    </row>
    <row r="3298" spans="30:32">
      <c r="AD3298" s="50">
        <v>350.7</v>
      </c>
      <c r="AE3298" s="51">
        <v>82.081000000000003</v>
      </c>
      <c r="AF3298" s="52">
        <f t="shared" si="295"/>
        <v>8.575736115238114E-2</v>
      </c>
    </row>
    <row r="3299" spans="30:32">
      <c r="AD3299" s="50">
        <v>350.6</v>
      </c>
      <c r="AE3299" s="51">
        <v>82.105000000000004</v>
      </c>
      <c r="AF3299" s="52">
        <f t="shared" si="295"/>
        <v>8.5630394570091334E-2</v>
      </c>
    </row>
    <row r="3300" spans="30:32">
      <c r="AD3300" s="50">
        <v>350.5</v>
      </c>
      <c r="AE3300" s="51">
        <v>82.085999999999999</v>
      </c>
      <c r="AF3300" s="52">
        <f t="shared" si="295"/>
        <v>8.5730906719880234E-2</v>
      </c>
    </row>
    <row r="3301" spans="30:32">
      <c r="AD3301" s="50">
        <v>350.4</v>
      </c>
      <c r="AE3301" s="51">
        <v>81.957999999999998</v>
      </c>
      <c r="AF3301" s="52">
        <f t="shared" si="295"/>
        <v>8.6408648118105877E-2</v>
      </c>
    </row>
    <row r="3302" spans="30:32">
      <c r="AD3302" s="50">
        <v>350.3</v>
      </c>
      <c r="AE3302" s="51">
        <v>81.847999999999999</v>
      </c>
      <c r="AF3302" s="52">
        <f t="shared" si="295"/>
        <v>8.6991928342155092E-2</v>
      </c>
    </row>
    <row r="3303" spans="30:32">
      <c r="AD3303" s="50">
        <v>350.2</v>
      </c>
      <c r="AE3303" s="51">
        <v>81.757999999999996</v>
      </c>
      <c r="AF3303" s="52">
        <f t="shared" si="295"/>
        <v>8.7469740981226757E-2</v>
      </c>
    </row>
    <row r="3304" spans="30:32">
      <c r="AD3304" s="50">
        <v>350.1</v>
      </c>
      <c r="AE3304" s="51">
        <v>81.671000000000006</v>
      </c>
      <c r="AF3304" s="52">
        <f t="shared" si="295"/>
        <v>8.793212676948603E-2</v>
      </c>
    </row>
    <row r="3305" spans="30:32">
      <c r="AD3305" s="50">
        <v>350</v>
      </c>
      <c r="AE3305" s="51">
        <v>81.537000000000006</v>
      </c>
      <c r="AF3305" s="52">
        <f t="shared" si="295"/>
        <v>8.8645271635566528E-2</v>
      </c>
    </row>
    <row r="3306" spans="30:32">
      <c r="AD3306" s="50">
        <v>349.9</v>
      </c>
      <c r="AE3306" s="51">
        <v>81.408000000000001</v>
      </c>
      <c r="AF3306" s="52">
        <f t="shared" si="295"/>
        <v>8.933291470371775E-2</v>
      </c>
    </row>
    <row r="3307" spans="30:32">
      <c r="AD3307" s="50">
        <v>349.8</v>
      </c>
      <c r="AE3307" s="51">
        <v>81.144999999999996</v>
      </c>
      <c r="AF3307" s="52">
        <f t="shared" si="295"/>
        <v>9.0738235410258675E-2</v>
      </c>
    </row>
    <row r="3308" spans="30:32">
      <c r="AD3308" s="50">
        <v>349.7</v>
      </c>
      <c r="AE3308" s="51">
        <v>80.738</v>
      </c>
      <c r="AF3308" s="52">
        <f t="shared" si="295"/>
        <v>9.2922012910864646E-2</v>
      </c>
    </row>
    <row r="3309" spans="30:32">
      <c r="AD3309" s="50">
        <v>349.6</v>
      </c>
      <c r="AE3309" s="51">
        <v>80.367000000000004</v>
      </c>
      <c r="AF3309" s="52">
        <f t="shared" si="295"/>
        <v>9.4922243041581422E-2</v>
      </c>
    </row>
    <row r="3310" spans="30:32">
      <c r="AD3310" s="50">
        <v>349.5</v>
      </c>
      <c r="AE3310" s="51">
        <v>80.081000000000003</v>
      </c>
      <c r="AF3310" s="52">
        <f t="shared" si="295"/>
        <v>9.6470512304832959E-2</v>
      </c>
    </row>
    <row r="3311" spans="30:32">
      <c r="AD3311" s="50">
        <v>349.4</v>
      </c>
      <c r="AE3311" s="51">
        <v>79.875</v>
      </c>
      <c r="AF3311" s="52">
        <f t="shared" si="295"/>
        <v>9.758912883354344E-2</v>
      </c>
    </row>
    <row r="3312" spans="30:32">
      <c r="AD3312" s="50">
        <v>349.3</v>
      </c>
      <c r="AE3312" s="51">
        <v>79.62</v>
      </c>
      <c r="AF3312" s="52">
        <f t="shared" si="295"/>
        <v>9.897782675192085E-2</v>
      </c>
    </row>
    <row r="3313" spans="30:32">
      <c r="AD3313" s="50">
        <v>349.2</v>
      </c>
      <c r="AE3313" s="51">
        <v>79.302999999999997</v>
      </c>
      <c r="AF3313" s="52">
        <f t="shared" si="295"/>
        <v>0.10071038318931137</v>
      </c>
    </row>
    <row r="3314" spans="30:32">
      <c r="AD3314" s="50">
        <v>349.1</v>
      </c>
      <c r="AE3314" s="51">
        <v>79.016000000000005</v>
      </c>
      <c r="AF3314" s="52">
        <f t="shared" si="295"/>
        <v>0.1022849592394517</v>
      </c>
    </row>
    <row r="3315" spans="30:32">
      <c r="AD3315" s="50">
        <v>349</v>
      </c>
      <c r="AE3315" s="51">
        <v>78.629000000000005</v>
      </c>
      <c r="AF3315" s="52">
        <f t="shared" si="295"/>
        <v>0.10441724763582992</v>
      </c>
    </row>
    <row r="3316" spans="30:32">
      <c r="AD3316" s="50">
        <v>348.9</v>
      </c>
      <c r="AE3316" s="51">
        <v>78.337000000000003</v>
      </c>
      <c r="AF3316" s="52">
        <f t="shared" si="295"/>
        <v>0.10603306424581256</v>
      </c>
    </row>
    <row r="3317" spans="30:32">
      <c r="AD3317" s="50">
        <v>348.8</v>
      </c>
      <c r="AE3317" s="51">
        <v>77.981999999999999</v>
      </c>
      <c r="AF3317" s="52">
        <f t="shared" si="295"/>
        <v>0.1080056306788694</v>
      </c>
    </row>
    <row r="3318" spans="30:32">
      <c r="AD3318" s="50">
        <v>348.7</v>
      </c>
      <c r="AE3318" s="51">
        <v>77.597999999999999</v>
      </c>
      <c r="AF3318" s="52">
        <f t="shared" si="295"/>
        <v>0.11014947204280584</v>
      </c>
    </row>
    <row r="3319" spans="30:32">
      <c r="AD3319" s="50">
        <v>348.6</v>
      </c>
      <c r="AE3319" s="51">
        <v>77.295000000000002</v>
      </c>
      <c r="AF3319" s="52">
        <f t="shared" si="295"/>
        <v>0.11184859848324399</v>
      </c>
    </row>
    <row r="3320" spans="30:32">
      <c r="AD3320" s="50">
        <v>348.5</v>
      </c>
      <c r="AE3320" s="51">
        <v>77.081999999999994</v>
      </c>
      <c r="AF3320" s="52">
        <f t="shared" si="295"/>
        <v>0.11304702549433075</v>
      </c>
    </row>
    <row r="3321" spans="30:32">
      <c r="AD3321" s="50">
        <v>348.4</v>
      </c>
      <c r="AE3321" s="51">
        <v>76.843999999999994</v>
      </c>
      <c r="AF3321" s="52">
        <f t="shared" si="295"/>
        <v>0.11439003666935334</v>
      </c>
    </row>
    <row r="3322" spans="30:32">
      <c r="AD3322" s="50">
        <v>348.3</v>
      </c>
      <c r="AE3322" s="51">
        <v>76.638999999999996</v>
      </c>
      <c r="AF3322" s="52">
        <f t="shared" si="295"/>
        <v>0.11555017064813508</v>
      </c>
    </row>
    <row r="3323" spans="30:32">
      <c r="AD3323" s="50">
        <v>348.2</v>
      </c>
      <c r="AE3323" s="51">
        <v>76.369</v>
      </c>
      <c r="AF3323" s="52">
        <f t="shared" si="295"/>
        <v>0.11708289615038396</v>
      </c>
    </row>
    <row r="3324" spans="30:32">
      <c r="AD3324" s="50">
        <v>348.1</v>
      </c>
      <c r="AE3324" s="51">
        <v>76.207999999999998</v>
      </c>
      <c r="AF3324" s="52">
        <f t="shared" si="295"/>
        <v>0.11799943583248475</v>
      </c>
    </row>
    <row r="3325" spans="30:32">
      <c r="AD3325" s="50">
        <v>348</v>
      </c>
      <c r="AE3325" s="51">
        <v>76.266999999999996</v>
      </c>
      <c r="AF3325" s="52">
        <f t="shared" si="295"/>
        <v>0.11766333646260578</v>
      </c>
    </row>
    <row r="3326" spans="30:32">
      <c r="AD3326" s="50">
        <v>347.9</v>
      </c>
      <c r="AE3326" s="51">
        <v>76.234999999999999</v>
      </c>
      <c r="AF3326" s="52">
        <f t="shared" si="295"/>
        <v>0.11784559536576603</v>
      </c>
    </row>
    <row r="3327" spans="30:32">
      <c r="AD3327" s="50">
        <v>347.8</v>
      </c>
      <c r="AE3327" s="51">
        <v>76.180999999999997</v>
      </c>
      <c r="AF3327" s="52">
        <f t="shared" si="295"/>
        <v>0.11815333081354097</v>
      </c>
    </row>
    <row r="3328" spans="30:32">
      <c r="AD3328" s="50">
        <v>347.7</v>
      </c>
      <c r="AE3328" s="51">
        <v>76.227999999999994</v>
      </c>
      <c r="AF3328" s="52">
        <f t="shared" si="295"/>
        <v>0.11788547469879056</v>
      </c>
    </row>
    <row r="3329" spans="30:32">
      <c r="AD3329" s="50">
        <v>347.6</v>
      </c>
      <c r="AE3329" s="51">
        <v>76.290999999999997</v>
      </c>
      <c r="AF3329" s="52">
        <f t="shared" si="295"/>
        <v>0.11752669246292481</v>
      </c>
    </row>
    <row r="3330" spans="30:32">
      <c r="AD3330" s="50">
        <v>347.5</v>
      </c>
      <c r="AE3330" s="51">
        <v>76.387</v>
      </c>
      <c r="AF3330" s="52">
        <f t="shared" si="295"/>
        <v>0.11698054598789683</v>
      </c>
    </row>
    <row r="3331" spans="30:32">
      <c r="AD3331" s="50">
        <v>347.4</v>
      </c>
      <c r="AE3331" s="51">
        <v>76.484999999999999</v>
      </c>
      <c r="AF3331" s="52">
        <f t="shared" si="295"/>
        <v>0.11642372897684516</v>
      </c>
    </row>
    <row r="3332" spans="30:32">
      <c r="AD3332" s="50">
        <v>347.3</v>
      </c>
      <c r="AE3332" s="51">
        <v>76.718000000000004</v>
      </c>
      <c r="AF3332" s="52">
        <f t="shared" si="295"/>
        <v>0.11510272753037437</v>
      </c>
    </row>
    <row r="3333" spans="30:32">
      <c r="AD3333" s="50">
        <v>347.2</v>
      </c>
      <c r="AE3333" s="51">
        <v>77.039000000000001</v>
      </c>
      <c r="AF3333" s="52">
        <f t="shared" ref="AF3333:AF3396" si="296">-LOG(AE3333/100)</f>
        <v>0.11328936317973888</v>
      </c>
    </row>
    <row r="3334" spans="30:32">
      <c r="AD3334" s="50">
        <v>347.1</v>
      </c>
      <c r="AE3334" s="51">
        <v>77.322999999999993</v>
      </c>
      <c r="AF3334" s="52">
        <f t="shared" si="296"/>
        <v>0.11169130443434649</v>
      </c>
    </row>
    <row r="3335" spans="30:32">
      <c r="AD3335" s="50">
        <v>347</v>
      </c>
      <c r="AE3335" s="51">
        <v>77.483000000000004</v>
      </c>
      <c r="AF3335" s="52">
        <f t="shared" si="296"/>
        <v>0.11079357253962333</v>
      </c>
    </row>
    <row r="3336" spans="30:32">
      <c r="AD3336" s="50">
        <v>346.9</v>
      </c>
      <c r="AE3336" s="51">
        <v>77.682000000000002</v>
      </c>
      <c r="AF3336" s="52">
        <f t="shared" si="296"/>
        <v>0.10967960161469661</v>
      </c>
    </row>
    <row r="3337" spans="30:32">
      <c r="AD3337" s="50">
        <v>346.8</v>
      </c>
      <c r="AE3337" s="51">
        <v>77.849000000000004</v>
      </c>
      <c r="AF3337" s="52">
        <f t="shared" si="296"/>
        <v>0.1087469617377521</v>
      </c>
    </row>
    <row r="3338" spans="30:32">
      <c r="AD3338" s="50">
        <v>346.7</v>
      </c>
      <c r="AE3338" s="51">
        <v>78.19</v>
      </c>
      <c r="AF3338" s="52">
        <f t="shared" si="296"/>
        <v>0.10684878687013415</v>
      </c>
    </row>
    <row r="3339" spans="30:32">
      <c r="AD3339" s="50">
        <v>346.6</v>
      </c>
      <c r="AE3339" s="51">
        <v>78.537999999999997</v>
      </c>
      <c r="AF3339" s="52">
        <f t="shared" si="296"/>
        <v>0.10492016239871985</v>
      </c>
    </row>
    <row r="3340" spans="30:32">
      <c r="AD3340" s="50">
        <v>346.5</v>
      </c>
      <c r="AE3340" s="51">
        <v>78.680000000000007</v>
      </c>
      <c r="AF3340" s="52">
        <f t="shared" si="296"/>
        <v>0.10413564875270086</v>
      </c>
    </row>
    <row r="3341" spans="30:32">
      <c r="AD3341" s="50">
        <v>346.4</v>
      </c>
      <c r="AE3341" s="51">
        <v>78.846000000000004</v>
      </c>
      <c r="AF3341" s="52">
        <f t="shared" si="296"/>
        <v>0.10322033431975751</v>
      </c>
    </row>
    <row r="3342" spans="30:32">
      <c r="AD3342" s="50">
        <v>346.3</v>
      </c>
      <c r="AE3342" s="51">
        <v>78.893000000000001</v>
      </c>
      <c r="AF3342" s="52">
        <f t="shared" si="296"/>
        <v>0.10296152906229411</v>
      </c>
    </row>
    <row r="3343" spans="30:32">
      <c r="AD3343" s="50">
        <v>346.2</v>
      </c>
      <c r="AE3343" s="51">
        <v>79.103999999999999</v>
      </c>
      <c r="AF3343" s="52">
        <f t="shared" si="296"/>
        <v>0.10180155526331582</v>
      </c>
    </row>
    <row r="3344" spans="30:32">
      <c r="AD3344" s="50">
        <v>346.1</v>
      </c>
      <c r="AE3344" s="51">
        <v>79.372</v>
      </c>
      <c r="AF3344" s="52">
        <f t="shared" si="296"/>
        <v>0.10033267628979785</v>
      </c>
    </row>
    <row r="3345" spans="30:32">
      <c r="AD3345" s="50">
        <v>346</v>
      </c>
      <c r="AE3345" s="51">
        <v>79.353999999999999</v>
      </c>
      <c r="AF3345" s="52">
        <f t="shared" si="296"/>
        <v>0.10043117685943063</v>
      </c>
    </row>
    <row r="3346" spans="30:32">
      <c r="AD3346" s="50">
        <v>345.9</v>
      </c>
      <c r="AE3346" s="51">
        <v>79.498000000000005</v>
      </c>
      <c r="AF3346" s="52">
        <f t="shared" si="296"/>
        <v>9.9643797128305012E-2</v>
      </c>
    </row>
    <row r="3347" spans="30:32">
      <c r="AD3347" s="50">
        <v>345.8</v>
      </c>
      <c r="AE3347" s="51">
        <v>79.456000000000003</v>
      </c>
      <c r="AF3347" s="52">
        <f t="shared" si="296"/>
        <v>9.9873302125529695E-2</v>
      </c>
    </row>
    <row r="3348" spans="30:32">
      <c r="AD3348" s="50">
        <v>345.7</v>
      </c>
      <c r="AE3348" s="51">
        <v>79.427999999999997</v>
      </c>
      <c r="AF3348" s="52">
        <f t="shared" si="296"/>
        <v>0.10002637286417146</v>
      </c>
    </row>
    <row r="3349" spans="30:32">
      <c r="AD3349" s="50">
        <v>345.6</v>
      </c>
      <c r="AE3349" s="51">
        <v>79.364999999999995</v>
      </c>
      <c r="AF3349" s="52">
        <f t="shared" si="296"/>
        <v>0.10037097941226197</v>
      </c>
    </row>
    <row r="3350" spans="30:32">
      <c r="AD3350" s="50">
        <v>345.5</v>
      </c>
      <c r="AE3350" s="51">
        <v>79.295000000000002</v>
      </c>
      <c r="AF3350" s="52">
        <f t="shared" si="296"/>
        <v>0.10075419655213022</v>
      </c>
    </row>
    <row r="3351" spans="30:32">
      <c r="AD3351" s="50">
        <v>345.4</v>
      </c>
      <c r="AE3351" s="51">
        <v>79.093000000000004</v>
      </c>
      <c r="AF3351" s="52">
        <f t="shared" si="296"/>
        <v>0.10186195134299662</v>
      </c>
    </row>
    <row r="3352" spans="30:32">
      <c r="AD3352" s="50">
        <v>345.3</v>
      </c>
      <c r="AE3352" s="51">
        <v>79.173000000000002</v>
      </c>
      <c r="AF3352" s="52">
        <f t="shared" si="296"/>
        <v>0.10142289858989301</v>
      </c>
    </row>
    <row r="3353" spans="30:32">
      <c r="AD3353" s="50">
        <v>345.2</v>
      </c>
      <c r="AE3353" s="51">
        <v>78.986000000000004</v>
      </c>
      <c r="AF3353" s="52">
        <f t="shared" si="296"/>
        <v>0.10244987910899346</v>
      </c>
    </row>
    <row r="3354" spans="30:32">
      <c r="AD3354" s="50">
        <v>345.1</v>
      </c>
      <c r="AE3354" s="51">
        <v>78.887</v>
      </c>
      <c r="AF3354" s="52">
        <f t="shared" si="296"/>
        <v>0.1029945594450128</v>
      </c>
    </row>
    <row r="3355" spans="30:32">
      <c r="AD3355" s="50">
        <v>345</v>
      </c>
      <c r="AE3355" s="51">
        <v>78.757000000000005</v>
      </c>
      <c r="AF3355" s="52">
        <f t="shared" si="296"/>
        <v>0.10371083530004449</v>
      </c>
    </row>
    <row r="3356" spans="30:32">
      <c r="AD3356" s="50">
        <v>344.9</v>
      </c>
      <c r="AE3356" s="51">
        <v>78.653999999999996</v>
      </c>
      <c r="AF3356" s="52">
        <f t="shared" si="296"/>
        <v>0.1042791861525289</v>
      </c>
    </row>
    <row r="3357" spans="30:32">
      <c r="AD3357" s="50">
        <v>344.8</v>
      </c>
      <c r="AE3357" s="51">
        <v>78.466999999999999</v>
      </c>
      <c r="AF3357" s="52">
        <f t="shared" si="296"/>
        <v>0.10531295129483177</v>
      </c>
    </row>
    <row r="3358" spans="30:32">
      <c r="AD3358" s="50">
        <v>344.7</v>
      </c>
      <c r="AE3358" s="51">
        <v>78.506</v>
      </c>
      <c r="AF3358" s="52">
        <f t="shared" si="296"/>
        <v>0.10509715004056855</v>
      </c>
    </row>
    <row r="3359" spans="30:32">
      <c r="AD3359" s="50">
        <v>344.6</v>
      </c>
      <c r="AE3359" s="51">
        <v>78.453999999999994</v>
      </c>
      <c r="AF3359" s="52">
        <f t="shared" si="296"/>
        <v>0.10538490888212297</v>
      </c>
    </row>
    <row r="3360" spans="30:32">
      <c r="AD3360" s="50">
        <v>344.5</v>
      </c>
      <c r="AE3360" s="51">
        <v>78.495000000000005</v>
      </c>
      <c r="AF3360" s="52">
        <f t="shared" si="296"/>
        <v>0.10515800620465349</v>
      </c>
    </row>
    <row r="3361" spans="30:32">
      <c r="AD3361" s="50">
        <v>344.4</v>
      </c>
      <c r="AE3361" s="51">
        <v>78.510999999999996</v>
      </c>
      <c r="AF3361" s="52">
        <f t="shared" si="296"/>
        <v>0.10506949096657975</v>
      </c>
    </row>
    <row r="3362" spans="30:32">
      <c r="AD3362" s="50">
        <v>344.3</v>
      </c>
      <c r="AE3362" s="51">
        <v>78.525999999999996</v>
      </c>
      <c r="AF3362" s="52">
        <f t="shared" si="296"/>
        <v>0.10498652431224528</v>
      </c>
    </row>
    <row r="3363" spans="30:32">
      <c r="AD3363" s="50">
        <v>344.2</v>
      </c>
      <c r="AE3363" s="51">
        <v>78.629000000000005</v>
      </c>
      <c r="AF3363" s="52">
        <f t="shared" si="296"/>
        <v>0.10441724763582992</v>
      </c>
    </row>
    <row r="3364" spans="30:32">
      <c r="AD3364" s="50">
        <v>344.1</v>
      </c>
      <c r="AE3364" s="51">
        <v>78.724000000000004</v>
      </c>
      <c r="AF3364" s="52">
        <f t="shared" si="296"/>
        <v>0.10389284732832196</v>
      </c>
    </row>
    <row r="3365" spans="30:32">
      <c r="AD3365" s="50">
        <v>344</v>
      </c>
      <c r="AE3365" s="51">
        <v>78.903999999999996</v>
      </c>
      <c r="AF3365" s="52">
        <f t="shared" si="296"/>
        <v>0.10290097988444318</v>
      </c>
    </row>
    <row r="3366" spans="30:32">
      <c r="AD3366" s="50">
        <v>343.9</v>
      </c>
      <c r="AE3366" s="51">
        <v>79.191000000000003</v>
      </c>
      <c r="AF3366" s="52">
        <f t="shared" si="296"/>
        <v>0.10132417286046054</v>
      </c>
    </row>
    <row r="3367" spans="30:32">
      <c r="AD3367" s="50">
        <v>343.8</v>
      </c>
      <c r="AE3367" s="51">
        <v>79.411000000000001</v>
      </c>
      <c r="AF3367" s="52">
        <f t="shared" si="296"/>
        <v>0.10011933499841488</v>
      </c>
    </row>
    <row r="3368" spans="30:32">
      <c r="AD3368" s="50">
        <v>343.7</v>
      </c>
      <c r="AE3368" s="51">
        <v>79.546999999999997</v>
      </c>
      <c r="AF3368" s="52">
        <f t="shared" si="296"/>
        <v>9.9376194496514469E-2</v>
      </c>
    </row>
    <row r="3369" spans="30:32">
      <c r="AD3369" s="50">
        <v>343.6</v>
      </c>
      <c r="AE3369" s="51">
        <v>79.700999999999993</v>
      </c>
      <c r="AF3369" s="52">
        <f t="shared" si="296"/>
        <v>9.8536229522866781E-2</v>
      </c>
    </row>
    <row r="3370" spans="30:32">
      <c r="AD3370" s="50">
        <v>343.5</v>
      </c>
      <c r="AE3370" s="51">
        <v>79.805999999999997</v>
      </c>
      <c r="AF3370" s="52">
        <f t="shared" si="296"/>
        <v>9.7964456156348675E-2</v>
      </c>
    </row>
    <row r="3371" spans="30:32">
      <c r="AD3371" s="50">
        <v>343.4</v>
      </c>
      <c r="AE3371" s="51">
        <v>80.180999999999997</v>
      </c>
      <c r="AF3371" s="52">
        <f t="shared" si="296"/>
        <v>9.5928531625361482E-2</v>
      </c>
    </row>
    <row r="3372" spans="30:32">
      <c r="AD3372" s="50">
        <v>343.3</v>
      </c>
      <c r="AE3372" s="51">
        <v>80.293000000000006</v>
      </c>
      <c r="AF3372" s="52">
        <f t="shared" si="296"/>
        <v>9.5322315168228283E-2</v>
      </c>
    </row>
    <row r="3373" spans="30:32">
      <c r="AD3373" s="50">
        <v>343.2</v>
      </c>
      <c r="AE3373" s="51">
        <v>80.451999999999998</v>
      </c>
      <c r="AF3373" s="52">
        <f t="shared" si="296"/>
        <v>9.4463155068154198E-2</v>
      </c>
    </row>
    <row r="3374" spans="30:32">
      <c r="AD3374" s="50">
        <v>343.1</v>
      </c>
      <c r="AE3374" s="51">
        <v>80.539000000000001</v>
      </c>
      <c r="AF3374" s="52">
        <f t="shared" si="296"/>
        <v>9.3993767045176077E-2</v>
      </c>
    </row>
    <row r="3375" spans="30:32">
      <c r="AD3375" s="50">
        <v>343</v>
      </c>
      <c r="AE3375" s="51">
        <v>80.613</v>
      </c>
      <c r="AF3375" s="52">
        <f t="shared" si="296"/>
        <v>9.3594916346212531E-2</v>
      </c>
    </row>
    <row r="3376" spans="30:32">
      <c r="AD3376" s="50">
        <v>342.9</v>
      </c>
      <c r="AE3376" s="51">
        <v>80.638999999999996</v>
      </c>
      <c r="AF3376" s="52">
        <f t="shared" si="296"/>
        <v>9.3454866528196831E-2</v>
      </c>
    </row>
    <row r="3377" spans="30:32">
      <c r="AD3377" s="50">
        <v>342.8</v>
      </c>
      <c r="AE3377" s="51">
        <v>80.819999999999993</v>
      </c>
      <c r="AF3377" s="52">
        <f t="shared" si="296"/>
        <v>9.2481153893370804E-2</v>
      </c>
    </row>
    <row r="3378" spans="30:32">
      <c r="AD3378" s="50">
        <v>342.7</v>
      </c>
      <c r="AE3378" s="51">
        <v>81.069999999999993</v>
      </c>
      <c r="AF3378" s="52">
        <f t="shared" si="296"/>
        <v>9.1139826982723493E-2</v>
      </c>
    </row>
    <row r="3379" spans="30:32">
      <c r="AD3379" s="50">
        <v>342.6</v>
      </c>
      <c r="AE3379" s="51">
        <v>81.186999999999998</v>
      </c>
      <c r="AF3379" s="52">
        <f t="shared" si="296"/>
        <v>9.0513506229974533E-2</v>
      </c>
    </row>
    <row r="3380" spans="30:32">
      <c r="AD3380" s="50">
        <v>342.5</v>
      </c>
      <c r="AE3380" s="51">
        <v>81.183999999999997</v>
      </c>
      <c r="AF3380" s="52">
        <f t="shared" si="296"/>
        <v>9.0529554458363304E-2</v>
      </c>
    </row>
    <row r="3381" spans="30:32">
      <c r="AD3381" s="50">
        <v>342.4</v>
      </c>
      <c r="AE3381" s="51">
        <v>81.254000000000005</v>
      </c>
      <c r="AF3381" s="52">
        <f t="shared" si="296"/>
        <v>9.0155250223946895E-2</v>
      </c>
    </row>
    <row r="3382" spans="30:32">
      <c r="AD3382" s="50">
        <v>342.3</v>
      </c>
      <c r="AE3382" s="51">
        <v>81.116</v>
      </c>
      <c r="AF3382" s="52">
        <f t="shared" si="296"/>
        <v>9.0893473454018978E-2</v>
      </c>
    </row>
    <row r="3383" spans="30:32">
      <c r="AD3383" s="50">
        <v>342.2</v>
      </c>
      <c r="AE3383" s="51">
        <v>81.16</v>
      </c>
      <c r="AF3383" s="52">
        <f t="shared" si="296"/>
        <v>9.0657961638691623E-2</v>
      </c>
    </row>
    <row r="3384" spans="30:32">
      <c r="AD3384" s="50">
        <v>342.1</v>
      </c>
      <c r="AE3384" s="51">
        <v>81.212999999999994</v>
      </c>
      <c r="AF3384" s="52">
        <f t="shared" si="296"/>
        <v>9.0374446419310056E-2</v>
      </c>
    </row>
    <row r="3385" spans="30:32">
      <c r="AD3385" s="50">
        <v>342</v>
      </c>
      <c r="AE3385" s="51">
        <v>81.069000000000003</v>
      </c>
      <c r="AF3385" s="52">
        <f t="shared" si="296"/>
        <v>9.114518404650096E-2</v>
      </c>
    </row>
    <row r="3386" spans="30:32">
      <c r="AD3386" s="50">
        <v>341.9</v>
      </c>
      <c r="AE3386" s="51">
        <v>81.007999999999996</v>
      </c>
      <c r="AF3386" s="52">
        <f t="shared" si="296"/>
        <v>9.1472089957234326E-2</v>
      </c>
    </row>
    <row r="3387" spans="30:32">
      <c r="AD3387" s="50">
        <v>341.8</v>
      </c>
      <c r="AE3387" s="51">
        <v>81.021000000000001</v>
      </c>
      <c r="AF3387" s="52">
        <f t="shared" si="296"/>
        <v>9.1402400848780166E-2</v>
      </c>
    </row>
    <row r="3388" spans="30:32">
      <c r="AD3388" s="50">
        <v>341.7</v>
      </c>
      <c r="AE3388" s="51">
        <v>81.150999999999996</v>
      </c>
      <c r="AF3388" s="52">
        <f t="shared" si="296"/>
        <v>9.0706124121100545E-2</v>
      </c>
    </row>
    <row r="3389" spans="30:32">
      <c r="AD3389" s="50">
        <v>341.6</v>
      </c>
      <c r="AE3389" s="51">
        <v>81.168999999999997</v>
      </c>
      <c r="AF3389" s="52">
        <f t="shared" si="296"/>
        <v>9.0609804496823751E-2</v>
      </c>
    </row>
    <row r="3390" spans="30:32">
      <c r="AD3390" s="50">
        <v>341.5</v>
      </c>
      <c r="AE3390" s="51">
        <v>81.165000000000006</v>
      </c>
      <c r="AF3390" s="52">
        <f t="shared" si="296"/>
        <v>9.0631207011736964E-2</v>
      </c>
    </row>
    <row r="3391" spans="30:32">
      <c r="AD3391" s="50">
        <v>341.4</v>
      </c>
      <c r="AE3391" s="51">
        <v>81.173000000000002</v>
      </c>
      <c r="AF3391" s="52">
        <f t="shared" si="296"/>
        <v>9.0588403036598222E-2</v>
      </c>
    </row>
    <row r="3392" spans="30:32">
      <c r="AD3392" s="50">
        <v>341.3</v>
      </c>
      <c r="AE3392" s="51">
        <v>81.296000000000006</v>
      </c>
      <c r="AF3392" s="52">
        <f t="shared" si="296"/>
        <v>8.9930822433779534E-2</v>
      </c>
    </row>
    <row r="3393" spans="30:32">
      <c r="AD3393" s="50">
        <v>341.2</v>
      </c>
      <c r="AE3393" s="51">
        <v>81.180000000000007</v>
      </c>
      <c r="AF3393" s="52">
        <f t="shared" si="296"/>
        <v>9.0550953018733352E-2</v>
      </c>
    </row>
    <row r="3394" spans="30:32">
      <c r="AD3394" s="50">
        <v>341.1</v>
      </c>
      <c r="AE3394" s="51">
        <v>81.281999999999996</v>
      </c>
      <c r="AF3394" s="52">
        <f t="shared" si="296"/>
        <v>9.0005618811661858E-2</v>
      </c>
    </row>
    <row r="3395" spans="30:32">
      <c r="AD3395" s="50">
        <v>341</v>
      </c>
      <c r="AE3395" s="51">
        <v>81.248000000000005</v>
      </c>
      <c r="AF3395" s="52">
        <f t="shared" si="296"/>
        <v>9.0187320806371749E-2</v>
      </c>
    </row>
    <row r="3396" spans="30:32">
      <c r="AD3396" s="50">
        <v>340.9</v>
      </c>
      <c r="AE3396" s="51">
        <v>81.081000000000003</v>
      </c>
      <c r="AF3396" s="52">
        <f t="shared" si="296"/>
        <v>9.1080903642031599E-2</v>
      </c>
    </row>
    <row r="3397" spans="30:32">
      <c r="AD3397" s="50">
        <v>340.8</v>
      </c>
      <c r="AE3397" s="51">
        <v>81.066999999999993</v>
      </c>
      <c r="AF3397" s="52">
        <f t="shared" ref="AF3397:AF3460" si="297">-LOG(AE3397/100)</f>
        <v>9.1155898372299746E-2</v>
      </c>
    </row>
    <row r="3398" spans="30:32">
      <c r="AD3398" s="50">
        <v>340.7</v>
      </c>
      <c r="AE3398" s="51">
        <v>81.319999999999993</v>
      </c>
      <c r="AF3398" s="52">
        <f t="shared" si="297"/>
        <v>8.9802630033999048E-2</v>
      </c>
    </row>
    <row r="3399" spans="30:32">
      <c r="AD3399" s="50">
        <v>340.6</v>
      </c>
      <c r="AE3399" s="51">
        <v>81.42</v>
      </c>
      <c r="AF3399" s="52">
        <f t="shared" si="297"/>
        <v>8.9268901956619282E-2</v>
      </c>
    </row>
    <row r="3400" spans="30:32">
      <c r="AD3400" s="50">
        <v>340.5</v>
      </c>
      <c r="AE3400" s="51">
        <v>81.382999999999996</v>
      </c>
      <c r="AF3400" s="52">
        <f t="shared" si="297"/>
        <v>8.9466304905054903E-2</v>
      </c>
    </row>
    <row r="3401" spans="30:32">
      <c r="AD3401" s="50">
        <v>340.4</v>
      </c>
      <c r="AE3401" s="51">
        <v>81.495000000000005</v>
      </c>
      <c r="AF3401" s="52">
        <f t="shared" si="297"/>
        <v>8.8869035910597874E-2</v>
      </c>
    </row>
    <row r="3402" spans="30:32">
      <c r="AD3402" s="50">
        <v>340.3</v>
      </c>
      <c r="AE3402" s="51">
        <v>81.442999999999998</v>
      </c>
      <c r="AF3402" s="52">
        <f t="shared" si="297"/>
        <v>8.9146237224296071E-2</v>
      </c>
    </row>
    <row r="3403" spans="30:32">
      <c r="AD3403" s="50">
        <v>340.2</v>
      </c>
      <c r="AE3403" s="51">
        <v>81.603999999999999</v>
      </c>
      <c r="AF3403" s="52">
        <f t="shared" si="297"/>
        <v>8.8288552822718344E-2</v>
      </c>
    </row>
    <row r="3404" spans="30:32">
      <c r="AD3404" s="50">
        <v>340.1</v>
      </c>
      <c r="AE3404" s="51">
        <v>81.888000000000005</v>
      </c>
      <c r="AF3404" s="52">
        <f t="shared" si="297"/>
        <v>8.6779735792908527E-2</v>
      </c>
    </row>
    <row r="3405" spans="30:32">
      <c r="AD3405" s="50">
        <v>340</v>
      </c>
      <c r="AE3405" s="51">
        <v>81.998000000000005</v>
      </c>
      <c r="AF3405" s="52">
        <f t="shared" si="297"/>
        <v>8.6196740293801907E-2</v>
      </c>
    </row>
    <row r="3406" spans="30:32">
      <c r="AD3406" s="50">
        <v>339.9</v>
      </c>
      <c r="AE3406" s="51">
        <v>81.975999999999999</v>
      </c>
      <c r="AF3406" s="52">
        <f t="shared" si="297"/>
        <v>8.6313276801531197E-2</v>
      </c>
    </row>
    <row r="3407" spans="30:32">
      <c r="AD3407" s="50">
        <v>339.8</v>
      </c>
      <c r="AE3407" s="51">
        <v>82.090999999999994</v>
      </c>
      <c r="AF3407" s="52">
        <f t="shared" si="297"/>
        <v>8.5704453898715491E-2</v>
      </c>
    </row>
    <row r="3408" spans="30:32">
      <c r="AD3408" s="50">
        <v>339.7</v>
      </c>
      <c r="AE3408" s="51">
        <v>82.100999999999999</v>
      </c>
      <c r="AF3408" s="52">
        <f t="shared" si="297"/>
        <v>8.5651553089608992E-2</v>
      </c>
    </row>
    <row r="3409" spans="30:32">
      <c r="AD3409" s="50">
        <v>339.6</v>
      </c>
      <c r="AE3409" s="51">
        <v>82.200999999999993</v>
      </c>
      <c r="AF3409" s="52">
        <f t="shared" si="297"/>
        <v>8.5122899104229086E-2</v>
      </c>
    </row>
    <row r="3410" spans="30:32">
      <c r="AD3410" s="50">
        <v>339.5</v>
      </c>
      <c r="AE3410" s="51">
        <v>82.31</v>
      </c>
      <c r="AF3410" s="52">
        <f t="shared" si="297"/>
        <v>8.4547398311521207E-2</v>
      </c>
    </row>
    <row r="3411" spans="30:32">
      <c r="AD3411" s="50">
        <v>339.4</v>
      </c>
      <c r="AE3411" s="51">
        <v>82.388999999999996</v>
      </c>
      <c r="AF3411" s="52">
        <f t="shared" si="297"/>
        <v>8.4130768378108053E-2</v>
      </c>
    </row>
    <row r="3412" spans="30:32">
      <c r="AD3412" s="50">
        <v>339.3</v>
      </c>
      <c r="AE3412" s="51">
        <v>82.454999999999998</v>
      </c>
      <c r="AF3412" s="52">
        <f t="shared" si="297"/>
        <v>8.3783003978588191E-2</v>
      </c>
    </row>
    <row r="3413" spans="30:32">
      <c r="AD3413" s="50">
        <v>339.2</v>
      </c>
      <c r="AE3413" s="51">
        <v>82.375</v>
      </c>
      <c r="AF3413" s="52">
        <f t="shared" si="297"/>
        <v>8.4204572397933733E-2</v>
      </c>
    </row>
    <row r="3414" spans="30:32">
      <c r="AD3414" s="50">
        <v>339.1</v>
      </c>
      <c r="AE3414" s="51">
        <v>82.474000000000004</v>
      </c>
      <c r="AF3414" s="52">
        <f t="shared" si="297"/>
        <v>8.3682941585768666E-2</v>
      </c>
    </row>
    <row r="3415" spans="30:32">
      <c r="AD3415" s="50">
        <v>339</v>
      </c>
      <c r="AE3415" s="51">
        <v>82.569000000000003</v>
      </c>
      <c r="AF3415" s="52">
        <f t="shared" si="297"/>
        <v>8.3182975148689872E-2</v>
      </c>
    </row>
    <row r="3416" spans="30:32">
      <c r="AD3416" s="50">
        <v>338.9</v>
      </c>
      <c r="AE3416" s="51">
        <v>82.512</v>
      </c>
      <c r="AF3416" s="52">
        <f t="shared" si="297"/>
        <v>8.348288593736039E-2</v>
      </c>
    </row>
    <row r="3417" spans="30:32">
      <c r="AD3417" s="50">
        <v>338.8</v>
      </c>
      <c r="AE3417" s="51">
        <v>82.304000000000002</v>
      </c>
      <c r="AF3417" s="52">
        <f t="shared" si="297"/>
        <v>8.4579057427909568E-2</v>
      </c>
    </row>
    <row r="3418" spans="30:32">
      <c r="AD3418" s="50">
        <v>338.7</v>
      </c>
      <c r="AE3418" s="51">
        <v>82.117999999999995</v>
      </c>
      <c r="AF3418" s="52">
        <f t="shared" si="297"/>
        <v>8.5561636499948565E-2</v>
      </c>
    </row>
    <row r="3419" spans="30:32">
      <c r="AD3419" s="50">
        <v>338.6</v>
      </c>
      <c r="AE3419" s="51">
        <v>82.263999999999996</v>
      </c>
      <c r="AF3419" s="52">
        <f t="shared" si="297"/>
        <v>8.4790177203543135E-2</v>
      </c>
    </row>
    <row r="3420" spans="30:32">
      <c r="AD3420" s="50">
        <v>338.5</v>
      </c>
      <c r="AE3420" s="51">
        <v>82.222999999999999</v>
      </c>
      <c r="AF3420" s="52">
        <f t="shared" si="297"/>
        <v>8.5006681536734158E-2</v>
      </c>
    </row>
    <row r="3421" spans="30:32">
      <c r="AD3421" s="50">
        <v>338.4</v>
      </c>
      <c r="AE3421" s="51">
        <v>82.207999999999998</v>
      </c>
      <c r="AF3421" s="52">
        <f t="shared" si="297"/>
        <v>8.5085917413747839E-2</v>
      </c>
    </row>
    <row r="3422" spans="30:32">
      <c r="AD3422" s="50">
        <v>338.3</v>
      </c>
      <c r="AE3422" s="51">
        <v>82.122</v>
      </c>
      <c r="AF3422" s="52">
        <f t="shared" si="297"/>
        <v>8.5540482360543318E-2</v>
      </c>
    </row>
    <row r="3423" spans="30:32">
      <c r="AD3423" s="50">
        <v>338.2</v>
      </c>
      <c r="AE3423" s="51">
        <v>81.95</v>
      </c>
      <c r="AF3423" s="52">
        <f t="shared" si="297"/>
        <v>8.6451042093482117E-2</v>
      </c>
    </row>
    <row r="3424" spans="30:32">
      <c r="AD3424" s="50">
        <v>338.1</v>
      </c>
      <c r="AE3424" s="51">
        <v>81.777000000000001</v>
      </c>
      <c r="AF3424" s="52">
        <f t="shared" si="297"/>
        <v>8.7368825639638825E-2</v>
      </c>
    </row>
    <row r="3425" spans="30:32">
      <c r="AD3425" s="50">
        <v>338</v>
      </c>
      <c r="AE3425" s="51">
        <v>81.716999999999999</v>
      </c>
      <c r="AF3425" s="52">
        <f t="shared" si="297"/>
        <v>8.7687585595160156E-2</v>
      </c>
    </row>
    <row r="3426" spans="30:32">
      <c r="AD3426" s="50">
        <v>337.9</v>
      </c>
      <c r="AE3426" s="51">
        <v>81.635999999999996</v>
      </c>
      <c r="AF3426" s="52">
        <f t="shared" si="297"/>
        <v>8.8118282991807781E-2</v>
      </c>
    </row>
    <row r="3427" spans="30:32">
      <c r="AD3427" s="50">
        <v>337.8</v>
      </c>
      <c r="AE3427" s="51">
        <v>81.539000000000001</v>
      </c>
      <c r="AF3427" s="52">
        <f t="shared" si="297"/>
        <v>8.863461906910855E-2</v>
      </c>
    </row>
    <row r="3428" spans="30:32">
      <c r="AD3428" s="50">
        <v>337.7</v>
      </c>
      <c r="AE3428" s="51">
        <v>81.475999999999999</v>
      </c>
      <c r="AF3428" s="52">
        <f t="shared" si="297"/>
        <v>8.8970300493788124E-2</v>
      </c>
    </row>
    <row r="3429" spans="30:32">
      <c r="AD3429" s="50">
        <v>337.6</v>
      </c>
      <c r="AE3429" s="51">
        <v>81.263000000000005</v>
      </c>
      <c r="AF3429" s="52">
        <f t="shared" si="297"/>
        <v>9.0107148790359928E-2</v>
      </c>
    </row>
    <row r="3430" spans="30:32">
      <c r="AD3430" s="50">
        <v>337.5</v>
      </c>
      <c r="AE3430" s="51">
        <v>81.078999999999994</v>
      </c>
      <c r="AF3430" s="52">
        <f t="shared" si="297"/>
        <v>9.1091616382089027E-2</v>
      </c>
    </row>
    <row r="3431" spans="30:32">
      <c r="AD3431" s="50">
        <v>337.4</v>
      </c>
      <c r="AE3431" s="51">
        <v>80.936000000000007</v>
      </c>
      <c r="AF3431" s="52">
        <f t="shared" si="297"/>
        <v>9.1858263014060498E-2</v>
      </c>
    </row>
    <row r="3432" spans="30:32">
      <c r="AD3432" s="50">
        <v>337.3</v>
      </c>
      <c r="AE3432" s="51">
        <v>80.924000000000007</v>
      </c>
      <c r="AF3432" s="52">
        <f t="shared" si="297"/>
        <v>9.1922658587919245E-2</v>
      </c>
    </row>
    <row r="3433" spans="30:32">
      <c r="AD3433" s="50">
        <v>337.2</v>
      </c>
      <c r="AE3433" s="51">
        <v>80.994</v>
      </c>
      <c r="AF3433" s="52">
        <f t="shared" si="297"/>
        <v>9.1547152274511615E-2</v>
      </c>
    </row>
    <row r="3434" spans="30:32">
      <c r="AD3434" s="50">
        <v>337.1</v>
      </c>
      <c r="AE3434" s="51">
        <v>81.022000000000006</v>
      </c>
      <c r="AF3434" s="52">
        <f t="shared" si="297"/>
        <v>9.1397040611288741E-2</v>
      </c>
    </row>
    <row r="3435" spans="30:32">
      <c r="AD3435" s="50">
        <v>337</v>
      </c>
      <c r="AE3435" s="51">
        <v>80.988</v>
      </c>
      <c r="AF3435" s="52">
        <f t="shared" si="297"/>
        <v>9.1579325810986156E-2</v>
      </c>
    </row>
    <row r="3436" spans="30:32">
      <c r="AD3436" s="50">
        <v>336.9</v>
      </c>
      <c r="AE3436" s="51">
        <v>80.831000000000003</v>
      </c>
      <c r="AF3436" s="52">
        <f t="shared" si="297"/>
        <v>9.242204829788031E-2</v>
      </c>
    </row>
    <row r="3437" spans="30:32">
      <c r="AD3437" s="50">
        <v>336.8</v>
      </c>
      <c r="AE3437" s="51">
        <v>80.739999999999995</v>
      </c>
      <c r="AF3437" s="52">
        <f t="shared" si="297"/>
        <v>9.2911254925704484E-2</v>
      </c>
    </row>
    <row r="3438" spans="30:32">
      <c r="AD3438" s="50">
        <v>336.7</v>
      </c>
      <c r="AE3438" s="51">
        <v>80.605000000000004</v>
      </c>
      <c r="AF3438" s="52">
        <f t="shared" si="297"/>
        <v>9.3638017685493222E-2</v>
      </c>
    </row>
    <row r="3439" spans="30:32">
      <c r="AD3439" s="50">
        <v>336.6</v>
      </c>
      <c r="AE3439" s="51">
        <v>80.623000000000005</v>
      </c>
      <c r="AF3439" s="52">
        <f t="shared" si="297"/>
        <v>9.3541045686749383E-2</v>
      </c>
    </row>
    <row r="3440" spans="30:32">
      <c r="AD3440" s="50">
        <v>336.5</v>
      </c>
      <c r="AE3440" s="51">
        <v>80.372</v>
      </c>
      <c r="AF3440" s="52">
        <f t="shared" si="297"/>
        <v>9.4895224428672098E-2</v>
      </c>
    </row>
    <row r="3441" spans="30:32">
      <c r="AD3441" s="50">
        <v>336.4</v>
      </c>
      <c r="AE3441" s="51">
        <v>80.236999999999995</v>
      </c>
      <c r="AF3441" s="52">
        <f t="shared" si="297"/>
        <v>9.5625317622263381E-2</v>
      </c>
    </row>
    <row r="3442" spans="30:32">
      <c r="AD3442" s="50">
        <v>336.3</v>
      </c>
      <c r="AE3442" s="51">
        <v>80.113</v>
      </c>
      <c r="AF3442" s="52">
        <f t="shared" si="297"/>
        <v>9.6297004887504548E-2</v>
      </c>
    </row>
    <row r="3443" spans="30:32">
      <c r="AD3443" s="50">
        <v>336.2</v>
      </c>
      <c r="AE3443" s="51">
        <v>79.936999999999998</v>
      </c>
      <c r="AF3443" s="52">
        <f t="shared" si="297"/>
        <v>9.7252154648514874E-2</v>
      </c>
    </row>
    <row r="3444" spans="30:32">
      <c r="AD3444" s="50">
        <v>336.1</v>
      </c>
      <c r="AE3444" s="51">
        <v>79.95</v>
      </c>
      <c r="AF3444" s="52">
        <f t="shared" si="297"/>
        <v>9.7181531917746505E-2</v>
      </c>
    </row>
    <row r="3445" spans="30:32">
      <c r="AD3445" s="50">
        <v>336</v>
      </c>
      <c r="AE3445" s="51">
        <v>79.765000000000001</v>
      </c>
      <c r="AF3445" s="52">
        <f t="shared" si="297"/>
        <v>9.8187630469348808E-2</v>
      </c>
    </row>
    <row r="3446" spans="30:32">
      <c r="AD3446" s="50">
        <v>335.9</v>
      </c>
      <c r="AE3446" s="51">
        <v>79.653000000000006</v>
      </c>
      <c r="AF3446" s="52">
        <f t="shared" si="297"/>
        <v>9.8797862563290151E-2</v>
      </c>
    </row>
    <row r="3447" spans="30:32">
      <c r="AD3447" s="50">
        <v>335.8</v>
      </c>
      <c r="AE3447" s="51">
        <v>79.558000000000007</v>
      </c>
      <c r="AF3447" s="52">
        <f t="shared" si="297"/>
        <v>9.9316143092617049E-2</v>
      </c>
    </row>
    <row r="3448" spans="30:32">
      <c r="AD3448" s="50">
        <v>335.7</v>
      </c>
      <c r="AE3448" s="51">
        <v>79.206999999999994</v>
      </c>
      <c r="AF3448" s="52">
        <f t="shared" si="297"/>
        <v>0.10123643549339678</v>
      </c>
    </row>
    <row r="3449" spans="30:32">
      <c r="AD3449" s="50">
        <v>335.6</v>
      </c>
      <c r="AE3449" s="51">
        <v>78.888999999999996</v>
      </c>
      <c r="AF3449" s="52">
        <f t="shared" si="297"/>
        <v>0.10298354903831149</v>
      </c>
    </row>
    <row r="3450" spans="30:32">
      <c r="AD3450" s="50">
        <v>335.5</v>
      </c>
      <c r="AE3450" s="51">
        <v>78.325000000000003</v>
      </c>
      <c r="AF3450" s="52">
        <f t="shared" si="297"/>
        <v>0.10609959644625723</v>
      </c>
    </row>
    <row r="3451" spans="30:32">
      <c r="AD3451" s="50">
        <v>335.4</v>
      </c>
      <c r="AE3451" s="51">
        <v>77.956999999999994</v>
      </c>
      <c r="AF3451" s="52">
        <f t="shared" si="297"/>
        <v>0.10814488208025839</v>
      </c>
    </row>
    <row r="3452" spans="30:32">
      <c r="AD3452" s="50">
        <v>335.3</v>
      </c>
      <c r="AE3452" s="51">
        <v>77.47</v>
      </c>
      <c r="AF3452" s="52">
        <f t="shared" si="297"/>
        <v>0.11086644403327613</v>
      </c>
    </row>
    <row r="3453" spans="30:32">
      <c r="AD3453" s="50">
        <v>335.2</v>
      </c>
      <c r="AE3453" s="51">
        <v>76.947999999999993</v>
      </c>
      <c r="AF3453" s="52">
        <f t="shared" si="297"/>
        <v>0.11380266368502634</v>
      </c>
    </row>
    <row r="3454" spans="30:32">
      <c r="AD3454" s="50">
        <v>335.1</v>
      </c>
      <c r="AE3454" s="51">
        <v>76.387</v>
      </c>
      <c r="AF3454" s="52">
        <f t="shared" si="297"/>
        <v>0.11698054598789683</v>
      </c>
    </row>
    <row r="3455" spans="30:32">
      <c r="AD3455" s="50">
        <v>335</v>
      </c>
      <c r="AE3455" s="51">
        <v>75.572999999999993</v>
      </c>
      <c r="AF3455" s="52">
        <f t="shared" si="297"/>
        <v>0.12163333737485037</v>
      </c>
    </row>
    <row r="3456" spans="30:32">
      <c r="AD3456" s="50">
        <v>334.9</v>
      </c>
      <c r="AE3456" s="51">
        <v>74.778000000000006</v>
      </c>
      <c r="AF3456" s="52">
        <f t="shared" si="297"/>
        <v>0.12622615459473402</v>
      </c>
    </row>
    <row r="3457" spans="30:32">
      <c r="AD3457" s="50">
        <v>334.8</v>
      </c>
      <c r="AE3457" s="51">
        <v>73.92</v>
      </c>
      <c r="AF3457" s="52">
        <f t="shared" si="297"/>
        <v>0.13123804178794973</v>
      </c>
    </row>
    <row r="3458" spans="30:32">
      <c r="AD3458" s="50">
        <v>334.7</v>
      </c>
      <c r="AE3458" s="51">
        <v>72.894000000000005</v>
      </c>
      <c r="AF3458" s="52">
        <f t="shared" si="297"/>
        <v>0.13730821755487185</v>
      </c>
    </row>
    <row r="3459" spans="30:32">
      <c r="AD3459" s="50">
        <v>334.6</v>
      </c>
      <c r="AE3459" s="51">
        <v>71.936000000000007</v>
      </c>
      <c r="AF3459" s="52">
        <f t="shared" si="297"/>
        <v>0.14305371478307047</v>
      </c>
    </row>
    <row r="3460" spans="30:32">
      <c r="AD3460" s="50">
        <v>334.5</v>
      </c>
      <c r="AE3460" s="51">
        <v>71.057000000000002</v>
      </c>
      <c r="AF3460" s="52">
        <f t="shared" si="297"/>
        <v>0.14839313221045314</v>
      </c>
    </row>
    <row r="3461" spans="30:32">
      <c r="AD3461" s="50">
        <v>334.4</v>
      </c>
      <c r="AE3461" s="51">
        <v>70.007000000000005</v>
      </c>
      <c r="AF3461" s="52">
        <f t="shared" ref="AF3461:AF3524" si="298">-LOG(AE3461/100)</f>
        <v>0.15485853270888045</v>
      </c>
    </row>
    <row r="3462" spans="30:32">
      <c r="AD3462" s="50">
        <v>334.3</v>
      </c>
      <c r="AE3462" s="51">
        <v>69.012</v>
      </c>
      <c r="AF3462" s="52">
        <f t="shared" si="298"/>
        <v>0.16107538635465016</v>
      </c>
    </row>
    <row r="3463" spans="30:32">
      <c r="AD3463" s="50">
        <v>334.2</v>
      </c>
      <c r="AE3463" s="51">
        <v>68.272000000000006</v>
      </c>
      <c r="AF3463" s="52">
        <f t="shared" si="298"/>
        <v>0.16575737448476308</v>
      </c>
    </row>
    <row r="3464" spans="30:32">
      <c r="AD3464" s="50">
        <v>334.1</v>
      </c>
      <c r="AE3464" s="51">
        <v>67.688999999999993</v>
      </c>
      <c r="AF3464" s="52">
        <f t="shared" si="298"/>
        <v>0.16948190188279624</v>
      </c>
    </row>
    <row r="3465" spans="30:32">
      <c r="AD3465" s="50">
        <v>334</v>
      </c>
      <c r="AE3465" s="51">
        <v>67.56</v>
      </c>
      <c r="AF3465" s="52">
        <f t="shared" si="298"/>
        <v>0.17031035910102896</v>
      </c>
    </row>
    <row r="3466" spans="30:32">
      <c r="AD3466" s="50">
        <v>333.9</v>
      </c>
      <c r="AE3466" s="51">
        <v>67.47</v>
      </c>
      <c r="AF3466" s="52">
        <f t="shared" si="298"/>
        <v>0.17088928984470539</v>
      </c>
    </row>
    <row r="3467" spans="30:32">
      <c r="AD3467" s="50">
        <v>333.8</v>
      </c>
      <c r="AE3467" s="51">
        <v>67.623000000000005</v>
      </c>
      <c r="AF3467" s="52">
        <f t="shared" si="298"/>
        <v>0.1699055662744057</v>
      </c>
    </row>
    <row r="3468" spans="30:32">
      <c r="AD3468" s="50">
        <v>333.7</v>
      </c>
      <c r="AE3468" s="51">
        <v>67.906999999999996</v>
      </c>
      <c r="AF3468" s="52">
        <f t="shared" si="298"/>
        <v>0.16808545540020678</v>
      </c>
    </row>
    <row r="3469" spans="30:32">
      <c r="AD3469" s="50">
        <v>333.6</v>
      </c>
      <c r="AE3469" s="51">
        <v>68.486000000000004</v>
      </c>
      <c r="AF3469" s="52">
        <f t="shared" si="298"/>
        <v>0.16439819849527848</v>
      </c>
    </row>
    <row r="3470" spans="30:32">
      <c r="AD3470" s="50">
        <v>333.5</v>
      </c>
      <c r="AE3470" s="51">
        <v>69.22</v>
      </c>
      <c r="AF3470" s="52">
        <f t="shared" si="298"/>
        <v>0.15976840504189108</v>
      </c>
    </row>
    <row r="3471" spans="30:32">
      <c r="AD3471" s="50">
        <v>333.4</v>
      </c>
      <c r="AE3471" s="51">
        <v>70.173000000000002</v>
      </c>
      <c r="AF3471" s="52">
        <f t="shared" si="298"/>
        <v>0.1538299563400001</v>
      </c>
    </row>
    <row r="3472" spans="30:32">
      <c r="AD3472" s="50">
        <v>333.3</v>
      </c>
      <c r="AE3472" s="51">
        <v>71.096999999999994</v>
      </c>
      <c r="AF3472" s="52">
        <f t="shared" si="298"/>
        <v>0.14814872431852449</v>
      </c>
    </row>
    <row r="3473" spans="30:32">
      <c r="AD3473" s="50">
        <v>333.2</v>
      </c>
      <c r="AE3473" s="51">
        <v>72.164000000000001</v>
      </c>
      <c r="AF3473" s="52">
        <f t="shared" si="298"/>
        <v>0.14167940215983077</v>
      </c>
    </row>
    <row r="3474" spans="30:32">
      <c r="AD3474" s="50">
        <v>333.1</v>
      </c>
      <c r="AE3474" s="51">
        <v>73.019000000000005</v>
      </c>
      <c r="AF3474" s="52">
        <f t="shared" si="298"/>
        <v>0.13656411903701357</v>
      </c>
    </row>
    <row r="3475" spans="30:32">
      <c r="AD3475" s="50">
        <v>333</v>
      </c>
      <c r="AE3475" s="51">
        <v>74.009</v>
      </c>
      <c r="AF3475" s="52">
        <f t="shared" si="298"/>
        <v>0.13071546388161565</v>
      </c>
    </row>
    <row r="3476" spans="30:32">
      <c r="AD3476" s="50">
        <v>332.9</v>
      </c>
      <c r="AE3476" s="51">
        <v>75.02</v>
      </c>
      <c r="AF3476" s="52">
        <f t="shared" si="298"/>
        <v>0.12482294018529605</v>
      </c>
    </row>
    <row r="3477" spans="30:32">
      <c r="AD3477" s="50">
        <v>332.8</v>
      </c>
      <c r="AE3477" s="51">
        <v>75.965000000000003</v>
      </c>
      <c r="AF3477" s="52">
        <f t="shared" si="298"/>
        <v>0.11938645782463268</v>
      </c>
    </row>
    <row r="3478" spans="30:32">
      <c r="AD3478" s="50">
        <v>332.7</v>
      </c>
      <c r="AE3478" s="51">
        <v>76.706999999999994</v>
      </c>
      <c r="AF3478" s="52">
        <f t="shared" si="298"/>
        <v>0.11516500211807688</v>
      </c>
    </row>
    <row r="3479" spans="30:32">
      <c r="AD3479" s="50">
        <v>332.6</v>
      </c>
      <c r="AE3479" s="51">
        <v>77.418999999999997</v>
      </c>
      <c r="AF3479" s="52">
        <f t="shared" si="298"/>
        <v>0.1111524426436037</v>
      </c>
    </row>
    <row r="3480" spans="30:32">
      <c r="AD3480" s="50">
        <v>332.5</v>
      </c>
      <c r="AE3480" s="51">
        <v>78.072999999999993</v>
      </c>
      <c r="AF3480" s="52">
        <f t="shared" si="298"/>
        <v>0.10749913229903256</v>
      </c>
    </row>
    <row r="3481" spans="30:32">
      <c r="AD3481" s="50">
        <v>332.4</v>
      </c>
      <c r="AE3481" s="51">
        <v>78.555000000000007</v>
      </c>
      <c r="AF3481" s="52">
        <f t="shared" si="298"/>
        <v>0.10482616704283282</v>
      </c>
    </row>
    <row r="3482" spans="30:32">
      <c r="AD3482" s="50">
        <v>332.3</v>
      </c>
      <c r="AE3482" s="51">
        <v>78.888999999999996</v>
      </c>
      <c r="AF3482" s="52">
        <f t="shared" si="298"/>
        <v>0.10298354903831149</v>
      </c>
    </row>
    <row r="3483" spans="30:32">
      <c r="AD3483" s="50">
        <v>332.2</v>
      </c>
      <c r="AE3483" s="51">
        <v>79.244</v>
      </c>
      <c r="AF3483" s="52">
        <f t="shared" si="298"/>
        <v>0.10103361069427923</v>
      </c>
    </row>
    <row r="3484" spans="30:32">
      <c r="AD3484" s="50">
        <v>332.1</v>
      </c>
      <c r="AE3484" s="51">
        <v>79.489999999999995</v>
      </c>
      <c r="AF3484" s="52">
        <f t="shared" si="298"/>
        <v>9.9687503016273438E-2</v>
      </c>
    </row>
    <row r="3485" spans="30:32">
      <c r="AD3485" s="50">
        <v>332</v>
      </c>
      <c r="AE3485" s="51">
        <v>79.884</v>
      </c>
      <c r="AF3485" s="52">
        <f t="shared" si="298"/>
        <v>9.7540197000704418E-2</v>
      </c>
    </row>
    <row r="3486" spans="30:32">
      <c r="AD3486" s="50">
        <v>331.9</v>
      </c>
      <c r="AE3486" s="51">
        <v>80.177000000000007</v>
      </c>
      <c r="AF3486" s="52">
        <f t="shared" si="298"/>
        <v>9.5950197871235973E-2</v>
      </c>
    </row>
    <row r="3487" spans="30:32">
      <c r="AD3487" s="50">
        <v>331.8</v>
      </c>
      <c r="AE3487" s="51">
        <v>80.474999999999994</v>
      </c>
      <c r="AF3487" s="52">
        <f t="shared" si="298"/>
        <v>9.4339014642348881E-2</v>
      </c>
    </row>
    <row r="3488" spans="30:32">
      <c r="AD3488" s="50">
        <v>331.7</v>
      </c>
      <c r="AE3488" s="51">
        <v>80.707999999999998</v>
      </c>
      <c r="AF3488" s="52">
        <f t="shared" si="298"/>
        <v>9.3083414675009385E-2</v>
      </c>
    </row>
    <row r="3489" spans="30:32">
      <c r="AD3489" s="50">
        <v>331.6</v>
      </c>
      <c r="AE3489" s="51">
        <v>80.841999999999999</v>
      </c>
      <c r="AF3489" s="52">
        <f t="shared" si="298"/>
        <v>9.2362950745310549E-2</v>
      </c>
    </row>
    <row r="3490" spans="30:32">
      <c r="AD3490" s="50">
        <v>331.5</v>
      </c>
      <c r="AE3490" s="51">
        <v>81.099000000000004</v>
      </c>
      <c r="AF3490" s="52">
        <f t="shared" si="298"/>
        <v>9.0984500870958024E-2</v>
      </c>
    </row>
    <row r="3491" spans="30:32">
      <c r="AD3491" s="50">
        <v>331.4</v>
      </c>
      <c r="AE3491" s="51">
        <v>81.494</v>
      </c>
      <c r="AF3491" s="52">
        <f t="shared" si="298"/>
        <v>8.8874365036881384E-2</v>
      </c>
    </row>
    <row r="3492" spans="30:32">
      <c r="AD3492" s="50">
        <v>331.3</v>
      </c>
      <c r="AE3492" s="51">
        <v>81.73</v>
      </c>
      <c r="AF3492" s="52">
        <f t="shared" si="298"/>
        <v>8.761850108119966E-2</v>
      </c>
    </row>
    <row r="3493" spans="30:32">
      <c r="AD3493" s="50">
        <v>331.2</v>
      </c>
      <c r="AE3493" s="51">
        <v>81.891000000000005</v>
      </c>
      <c r="AF3493" s="52">
        <f t="shared" si="298"/>
        <v>8.676382553034917E-2</v>
      </c>
    </row>
    <row r="3494" spans="30:32">
      <c r="AD3494" s="50">
        <v>331.1</v>
      </c>
      <c r="AE3494" s="51">
        <v>82.135999999999996</v>
      </c>
      <c r="AF3494" s="52">
        <f t="shared" si="298"/>
        <v>8.5466450985981712E-2</v>
      </c>
    </row>
    <row r="3495" spans="30:32">
      <c r="AD3495" s="50">
        <v>331</v>
      </c>
      <c r="AE3495" s="51">
        <v>82.26</v>
      </c>
      <c r="AF3495" s="52">
        <f t="shared" si="298"/>
        <v>8.4811294826843714E-2</v>
      </c>
    </row>
    <row r="3496" spans="30:32">
      <c r="AD3496" s="50">
        <v>330.9</v>
      </c>
      <c r="AE3496" s="51">
        <v>82.478999999999999</v>
      </c>
      <c r="AF3496" s="52">
        <f t="shared" si="298"/>
        <v>8.365661320847112E-2</v>
      </c>
    </row>
    <row r="3497" spans="30:32">
      <c r="AD3497" s="50">
        <v>330.8</v>
      </c>
      <c r="AE3497" s="51">
        <v>82.751000000000005</v>
      </c>
      <c r="AF3497" s="52">
        <f t="shared" si="298"/>
        <v>8.2226749312270336E-2</v>
      </c>
    </row>
    <row r="3498" spans="30:32">
      <c r="AD3498" s="50">
        <v>330.7</v>
      </c>
      <c r="AE3498" s="51">
        <v>83.188000000000002</v>
      </c>
      <c r="AF3498" s="52">
        <f t="shared" si="298"/>
        <v>7.993931685411669E-2</v>
      </c>
    </row>
    <row r="3499" spans="30:32">
      <c r="AD3499" s="50">
        <v>330.6</v>
      </c>
      <c r="AE3499" s="51">
        <v>83.593000000000004</v>
      </c>
      <c r="AF3499" s="52">
        <f t="shared" si="298"/>
        <v>7.7830088453994639E-2</v>
      </c>
    </row>
    <row r="3500" spans="30:32">
      <c r="AD3500" s="50">
        <v>330.5</v>
      </c>
      <c r="AE3500" s="51">
        <v>83.748999999999995</v>
      </c>
      <c r="AF3500" s="52">
        <f t="shared" si="298"/>
        <v>7.7020369927830332E-2</v>
      </c>
    </row>
    <row r="3501" spans="30:32">
      <c r="AD3501" s="50">
        <v>330.4</v>
      </c>
      <c r="AE3501" s="51">
        <v>84.066000000000003</v>
      </c>
      <c r="AF3501" s="52">
        <f t="shared" si="298"/>
        <v>7.5379616544486466E-2</v>
      </c>
    </row>
    <row r="3502" spans="30:32">
      <c r="AD3502" s="50">
        <v>330.3</v>
      </c>
      <c r="AE3502" s="51">
        <v>84.093000000000004</v>
      </c>
      <c r="AF3502" s="52">
        <f t="shared" si="298"/>
        <v>7.5240153879839872E-2</v>
      </c>
    </row>
    <row r="3503" spans="30:32">
      <c r="AD3503" s="50">
        <v>330.2</v>
      </c>
      <c r="AE3503" s="51">
        <v>84.367999999999995</v>
      </c>
      <c r="AF3503" s="52">
        <f t="shared" si="298"/>
        <v>7.3822246012611087E-2</v>
      </c>
    </row>
    <row r="3504" spans="30:32">
      <c r="AD3504" s="50">
        <v>330.1</v>
      </c>
      <c r="AE3504" s="51">
        <v>84.521000000000001</v>
      </c>
      <c r="AF3504" s="52">
        <f t="shared" si="298"/>
        <v>7.3035373286634536E-2</v>
      </c>
    </row>
    <row r="3505" spans="30:32">
      <c r="AD3505" s="50">
        <v>330</v>
      </c>
      <c r="AE3505" s="51">
        <v>84.635999999999996</v>
      </c>
      <c r="AF3505" s="52">
        <f t="shared" si="298"/>
        <v>7.2444870107773368E-2</v>
      </c>
    </row>
    <row r="3506" spans="30:32">
      <c r="AD3506" s="50">
        <v>329.9</v>
      </c>
      <c r="AE3506" s="51">
        <v>84.733999999999995</v>
      </c>
      <c r="AF3506" s="52">
        <f t="shared" si="298"/>
        <v>7.194229156403785E-2</v>
      </c>
    </row>
    <row r="3507" spans="30:32">
      <c r="AD3507" s="50">
        <v>329.8</v>
      </c>
      <c r="AE3507" s="51">
        <v>84.831999999999994</v>
      </c>
      <c r="AF3507" s="52">
        <f t="shared" si="298"/>
        <v>7.1440293947000619E-2</v>
      </c>
    </row>
    <row r="3508" spans="30:32">
      <c r="AD3508" s="50">
        <v>329.7</v>
      </c>
      <c r="AE3508" s="51">
        <v>84.924000000000007</v>
      </c>
      <c r="AF3508" s="52">
        <f t="shared" si="298"/>
        <v>7.0969558347117226E-2</v>
      </c>
    </row>
    <row r="3509" spans="30:32">
      <c r="AD3509" s="50">
        <v>329.6</v>
      </c>
      <c r="AE3509" s="51">
        <v>85.048000000000002</v>
      </c>
      <c r="AF3509" s="52">
        <f t="shared" si="298"/>
        <v>7.0335894857722028E-2</v>
      </c>
    </row>
    <row r="3510" spans="30:32">
      <c r="AD3510" s="50">
        <v>329.5</v>
      </c>
      <c r="AE3510" s="51">
        <v>85.284000000000006</v>
      </c>
      <c r="AF3510" s="52">
        <f t="shared" si="298"/>
        <v>6.913243850994763E-2</v>
      </c>
    </row>
    <row r="3511" spans="30:32">
      <c r="AD3511" s="50">
        <v>329.4</v>
      </c>
      <c r="AE3511" s="51">
        <v>85.441999999999993</v>
      </c>
      <c r="AF3511" s="52">
        <f t="shared" si="298"/>
        <v>6.8328594365168915E-2</v>
      </c>
    </row>
    <row r="3512" spans="30:32">
      <c r="AD3512" s="50">
        <v>329.3</v>
      </c>
      <c r="AE3512" s="51">
        <v>85.635000000000005</v>
      </c>
      <c r="AF3512" s="52">
        <f t="shared" si="298"/>
        <v>6.7348697937635843E-2</v>
      </c>
    </row>
    <row r="3513" spans="30:32">
      <c r="AD3513" s="50">
        <v>329.2</v>
      </c>
      <c r="AE3513" s="51">
        <v>85.602000000000004</v>
      </c>
      <c r="AF3513" s="52">
        <f t="shared" si="298"/>
        <v>6.751608837405125E-2</v>
      </c>
    </row>
    <row r="3514" spans="30:32">
      <c r="AD3514" s="50">
        <v>329.1</v>
      </c>
      <c r="AE3514" s="51">
        <v>85.524000000000001</v>
      </c>
      <c r="AF3514" s="52">
        <f t="shared" si="298"/>
        <v>6.7911995155421498E-2</v>
      </c>
    </row>
    <row r="3515" spans="30:32">
      <c r="AD3515" s="50">
        <v>329</v>
      </c>
      <c r="AE3515" s="51">
        <v>85.537999999999997</v>
      </c>
      <c r="AF3515" s="52">
        <f t="shared" si="298"/>
        <v>6.7840908382669901E-2</v>
      </c>
    </row>
    <row r="3516" spans="30:32">
      <c r="AD3516" s="50">
        <v>328.9</v>
      </c>
      <c r="AE3516" s="51">
        <v>85.447000000000003</v>
      </c>
      <c r="AF3516" s="52">
        <f t="shared" si="298"/>
        <v>6.830318053033882E-2</v>
      </c>
    </row>
    <row r="3517" spans="30:32">
      <c r="AD3517" s="50">
        <v>328.8</v>
      </c>
      <c r="AE3517" s="51">
        <v>85.463999999999999</v>
      </c>
      <c r="AF3517" s="52">
        <f t="shared" si="298"/>
        <v>6.8216784614140338E-2</v>
      </c>
    </row>
    <row r="3518" spans="30:32">
      <c r="AD3518" s="50">
        <v>328.7</v>
      </c>
      <c r="AE3518" s="51">
        <v>85.49</v>
      </c>
      <c r="AF3518" s="52">
        <f t="shared" si="298"/>
        <v>6.80846829187539E-2</v>
      </c>
    </row>
    <row r="3519" spans="30:32">
      <c r="AD3519" s="50">
        <v>328.6</v>
      </c>
      <c r="AE3519" s="51">
        <v>85.495000000000005</v>
      </c>
      <c r="AF3519" s="52">
        <f t="shared" si="298"/>
        <v>6.8059283352591482E-2</v>
      </c>
    </row>
    <row r="3520" spans="30:32">
      <c r="AD3520" s="50">
        <v>328.5</v>
      </c>
      <c r="AE3520" s="51">
        <v>85.622</v>
      </c>
      <c r="AF3520" s="52">
        <f t="shared" si="298"/>
        <v>6.7414631923114851E-2</v>
      </c>
    </row>
    <row r="3521" spans="30:32">
      <c r="AD3521" s="50">
        <v>328.4</v>
      </c>
      <c r="AE3521" s="51">
        <v>85.590999999999994</v>
      </c>
      <c r="AF3521" s="52">
        <f t="shared" si="298"/>
        <v>6.7571899526464169E-2</v>
      </c>
    </row>
    <row r="3522" spans="30:32">
      <c r="AD3522" s="50">
        <v>328.3</v>
      </c>
      <c r="AE3522" s="51">
        <v>85.614999999999995</v>
      </c>
      <c r="AF3522" s="52">
        <f t="shared" si="298"/>
        <v>6.7450138984964991E-2</v>
      </c>
    </row>
    <row r="3523" spans="30:32">
      <c r="AD3523" s="50">
        <v>328.2</v>
      </c>
      <c r="AE3523" s="51">
        <v>85.685000000000002</v>
      </c>
      <c r="AF3523" s="52">
        <f t="shared" si="298"/>
        <v>6.7095198933296657E-2</v>
      </c>
    </row>
    <row r="3524" spans="30:32">
      <c r="AD3524" s="50">
        <v>328.1</v>
      </c>
      <c r="AE3524" s="51">
        <v>85.686999999999998</v>
      </c>
      <c r="AF3524" s="52">
        <f t="shared" si="298"/>
        <v>6.7085062050213695E-2</v>
      </c>
    </row>
    <row r="3525" spans="30:32">
      <c r="AD3525" s="50">
        <v>328</v>
      </c>
      <c r="AE3525" s="51">
        <v>85.805000000000007</v>
      </c>
      <c r="AF3525" s="52">
        <f t="shared" ref="AF3525:AF3588" si="299">-LOG(AE3525/100)</f>
        <v>6.6487404352452623E-2</v>
      </c>
    </row>
    <row r="3526" spans="30:32">
      <c r="AD3526" s="50">
        <v>327.9</v>
      </c>
      <c r="AE3526" s="51">
        <v>85.734999999999999</v>
      </c>
      <c r="AF3526" s="52">
        <f t="shared" si="299"/>
        <v>6.6841847810779162E-2</v>
      </c>
    </row>
    <row r="3527" spans="30:32">
      <c r="AD3527" s="50">
        <v>327.8</v>
      </c>
      <c r="AE3527" s="51">
        <v>85.545000000000002</v>
      </c>
      <c r="AF3527" s="52">
        <f t="shared" si="299"/>
        <v>6.7805369359213163E-2</v>
      </c>
    </row>
    <row r="3528" spans="30:32">
      <c r="AD3528" s="50">
        <v>327.7</v>
      </c>
      <c r="AE3528" s="51">
        <v>85.492999999999995</v>
      </c>
      <c r="AF3528" s="52">
        <f t="shared" si="299"/>
        <v>6.8069443000798979E-2</v>
      </c>
    </row>
    <row r="3529" spans="30:32">
      <c r="AD3529" s="50">
        <v>327.60000000000002</v>
      </c>
      <c r="AE3529" s="51">
        <v>85.421999999999997</v>
      </c>
      <c r="AF3529" s="52">
        <f t="shared" si="299"/>
        <v>6.8430264578645525E-2</v>
      </c>
    </row>
    <row r="3530" spans="30:32">
      <c r="AD3530" s="50">
        <v>327.5</v>
      </c>
      <c r="AE3530" s="51">
        <v>85.480999999999995</v>
      </c>
      <c r="AF3530" s="52">
        <f t="shared" si="299"/>
        <v>6.8130405881604211E-2</v>
      </c>
    </row>
    <row r="3531" spans="30:32">
      <c r="AD3531" s="50">
        <v>327.39999999999998</v>
      </c>
      <c r="AE3531" s="51">
        <v>85.587000000000003</v>
      </c>
      <c r="AF3531" s="52">
        <f t="shared" si="299"/>
        <v>6.7592196269362512E-2</v>
      </c>
    </row>
    <row r="3532" spans="30:32">
      <c r="AD3532" s="50">
        <v>327.3</v>
      </c>
      <c r="AE3532" s="51">
        <v>85.697999999999993</v>
      </c>
      <c r="AF3532" s="52">
        <f t="shared" si="299"/>
        <v>6.7029313422183309E-2</v>
      </c>
    </row>
    <row r="3533" spans="30:32">
      <c r="AD3533" s="50">
        <v>327.2</v>
      </c>
      <c r="AE3533" s="51">
        <v>85.653000000000006</v>
      </c>
      <c r="AF3533" s="52">
        <f t="shared" si="299"/>
        <v>6.7257421249215951E-2</v>
      </c>
    </row>
    <row r="3534" spans="30:32">
      <c r="AD3534" s="50">
        <v>327.10000000000002</v>
      </c>
      <c r="AE3534" s="51">
        <v>85.680999999999997</v>
      </c>
      <c r="AF3534" s="52">
        <f t="shared" si="299"/>
        <v>6.711547340930625E-2</v>
      </c>
    </row>
    <row r="3535" spans="30:32">
      <c r="AD3535" s="50">
        <v>327</v>
      </c>
      <c r="AE3535" s="51">
        <v>85.665000000000006</v>
      </c>
      <c r="AF3535" s="52">
        <f t="shared" si="299"/>
        <v>6.7196580779547127E-2</v>
      </c>
    </row>
    <row r="3536" spans="30:32">
      <c r="AD3536" s="50">
        <v>326.89999999999998</v>
      </c>
      <c r="AE3536" s="51">
        <v>85.593000000000004</v>
      </c>
      <c r="AF3536" s="52">
        <f t="shared" si="299"/>
        <v>6.7561751510716764E-2</v>
      </c>
    </row>
    <row r="3537" spans="30:32">
      <c r="AD3537" s="50">
        <v>326.8</v>
      </c>
      <c r="AE3537" s="51">
        <v>85.539000000000001</v>
      </c>
      <c r="AF3537" s="52">
        <f t="shared" si="299"/>
        <v>6.7835831201261396E-2</v>
      </c>
    </row>
    <row r="3538" spans="30:32">
      <c r="AD3538" s="50">
        <v>326.7</v>
      </c>
      <c r="AE3538" s="51">
        <v>85.558000000000007</v>
      </c>
      <c r="AF3538" s="52">
        <f t="shared" si="299"/>
        <v>6.7739376030333961E-2</v>
      </c>
    </row>
    <row r="3539" spans="30:32">
      <c r="AD3539" s="50">
        <v>326.60000000000002</v>
      </c>
      <c r="AE3539" s="51">
        <v>85.563999999999993</v>
      </c>
      <c r="AF3539" s="52">
        <f t="shared" si="299"/>
        <v>6.7708920952757948E-2</v>
      </c>
    </row>
    <row r="3540" spans="30:32">
      <c r="AD3540" s="50">
        <v>326.5</v>
      </c>
      <c r="AE3540" s="51">
        <v>85.465999999999994</v>
      </c>
      <c r="AF3540" s="52">
        <f t="shared" si="299"/>
        <v>6.8206621518559149E-2</v>
      </c>
    </row>
    <row r="3541" spans="30:32">
      <c r="AD3541" s="50">
        <v>326.39999999999998</v>
      </c>
      <c r="AE3541" s="51">
        <v>85.412000000000006</v>
      </c>
      <c r="AF3541" s="52">
        <f t="shared" si="299"/>
        <v>6.8481108612315489E-2</v>
      </c>
    </row>
    <row r="3542" spans="30:32">
      <c r="AD3542" s="50">
        <v>326.3</v>
      </c>
      <c r="AE3542" s="51">
        <v>85.319000000000003</v>
      </c>
      <c r="AF3542" s="52">
        <f t="shared" si="299"/>
        <v>6.8954243436240084E-2</v>
      </c>
    </row>
    <row r="3543" spans="30:32">
      <c r="AD3543" s="50">
        <v>326.2</v>
      </c>
      <c r="AE3543" s="51">
        <v>85.537999999999997</v>
      </c>
      <c r="AF3543" s="52">
        <f t="shared" si="299"/>
        <v>6.7840908382669901E-2</v>
      </c>
    </row>
    <row r="3544" spans="30:32">
      <c r="AD3544" s="50">
        <v>326.10000000000002</v>
      </c>
      <c r="AE3544" s="51">
        <v>85.593000000000004</v>
      </c>
      <c r="AF3544" s="52">
        <f t="shared" si="299"/>
        <v>6.7561751510716764E-2</v>
      </c>
    </row>
    <row r="3545" spans="30:32">
      <c r="AD3545" s="50">
        <v>326</v>
      </c>
      <c r="AE3545" s="51">
        <v>85.52</v>
      </c>
      <c r="AF3545" s="52">
        <f t="shared" si="299"/>
        <v>6.7932307799278419E-2</v>
      </c>
    </row>
    <row r="3546" spans="30:32">
      <c r="AD3546" s="50">
        <v>325.89999999999998</v>
      </c>
      <c r="AE3546" s="51">
        <v>85.447999999999993</v>
      </c>
      <c r="AF3546" s="52">
        <f t="shared" si="299"/>
        <v>6.8298097941826563E-2</v>
      </c>
    </row>
    <row r="3547" spans="30:32">
      <c r="AD3547" s="50">
        <v>325.8</v>
      </c>
      <c r="AE3547" s="51">
        <v>85.304000000000002</v>
      </c>
      <c r="AF3547" s="52">
        <f t="shared" si="299"/>
        <v>6.9030603800848966E-2</v>
      </c>
    </row>
    <row r="3548" spans="30:32">
      <c r="AD3548" s="50">
        <v>325.7</v>
      </c>
      <c r="AE3548" s="51">
        <v>85.27</v>
      </c>
      <c r="AF3548" s="52">
        <f t="shared" si="299"/>
        <v>6.9203737016699782E-2</v>
      </c>
    </row>
    <row r="3549" spans="30:32">
      <c r="AD3549" s="50">
        <v>325.60000000000002</v>
      </c>
      <c r="AE3549" s="51">
        <v>85.3</v>
      </c>
      <c r="AF3549" s="52">
        <f t="shared" si="299"/>
        <v>6.905096883247698E-2</v>
      </c>
    </row>
    <row r="3550" spans="30:32">
      <c r="AD3550" s="50">
        <v>325.5</v>
      </c>
      <c r="AE3550" s="51">
        <v>85.42</v>
      </c>
      <c r="AF3550" s="52">
        <f t="shared" si="299"/>
        <v>6.8440432909194715E-2</v>
      </c>
    </row>
    <row r="3551" spans="30:32">
      <c r="AD3551" s="50">
        <v>325.39999999999998</v>
      </c>
      <c r="AE3551" s="51">
        <v>85.284000000000006</v>
      </c>
      <c r="AF3551" s="52">
        <f t="shared" si="299"/>
        <v>6.913243850994763E-2</v>
      </c>
    </row>
    <row r="3552" spans="30:32">
      <c r="AD3552" s="50">
        <v>325.3</v>
      </c>
      <c r="AE3552" s="51">
        <v>85.289000000000001</v>
      </c>
      <c r="AF3552" s="52">
        <f t="shared" si="299"/>
        <v>6.910697759397455E-2</v>
      </c>
    </row>
    <row r="3553" spans="30:32">
      <c r="AD3553" s="50">
        <v>325.2</v>
      </c>
      <c r="AE3553" s="51">
        <v>85.253</v>
      </c>
      <c r="AF3553" s="52">
        <f t="shared" si="299"/>
        <v>6.9290329514096777E-2</v>
      </c>
    </row>
    <row r="3554" spans="30:32">
      <c r="AD3554" s="50">
        <v>325.10000000000002</v>
      </c>
      <c r="AE3554" s="51">
        <v>85.16</v>
      </c>
      <c r="AF3554" s="52">
        <f t="shared" si="299"/>
        <v>6.9764347233715093E-2</v>
      </c>
    </row>
    <row r="3555" spans="30:32">
      <c r="AD3555" s="50">
        <v>325</v>
      </c>
      <c r="AE3555" s="51">
        <v>85.319000000000003</v>
      </c>
      <c r="AF3555" s="52">
        <f t="shared" si="299"/>
        <v>6.8954243436240084E-2</v>
      </c>
    </row>
    <row r="3556" spans="30:32">
      <c r="AD3556" s="50">
        <v>324.89999999999998</v>
      </c>
      <c r="AE3556" s="51">
        <v>85.096000000000004</v>
      </c>
      <c r="AF3556" s="52">
        <f t="shared" si="299"/>
        <v>7.0090853766829678E-2</v>
      </c>
    </row>
    <row r="3557" spans="30:32">
      <c r="AD3557" s="50">
        <v>324.8</v>
      </c>
      <c r="AE3557" s="51">
        <v>85.137</v>
      </c>
      <c r="AF3557" s="52">
        <f t="shared" si="299"/>
        <v>6.988165726436163E-2</v>
      </c>
    </row>
    <row r="3558" spans="30:32">
      <c r="AD3558" s="50">
        <v>324.7</v>
      </c>
      <c r="AE3558" s="51">
        <v>84.965000000000003</v>
      </c>
      <c r="AF3558" s="52">
        <f t="shared" si="299"/>
        <v>7.07599382527766E-2</v>
      </c>
    </row>
    <row r="3559" spans="30:32">
      <c r="AD3559" s="50">
        <v>324.60000000000002</v>
      </c>
      <c r="AE3559" s="51">
        <v>84.936000000000007</v>
      </c>
      <c r="AF3559" s="52">
        <f t="shared" si="299"/>
        <v>7.0908195650879038E-2</v>
      </c>
    </row>
    <row r="3560" spans="30:32">
      <c r="AD3560" s="50">
        <v>324.5</v>
      </c>
      <c r="AE3560" s="51">
        <v>84.775999999999996</v>
      </c>
      <c r="AF3560" s="52">
        <f t="shared" si="299"/>
        <v>7.172707867260722E-2</v>
      </c>
    </row>
    <row r="3561" spans="30:32">
      <c r="AD3561" s="50">
        <v>324.39999999999998</v>
      </c>
      <c r="AE3561" s="51">
        <v>84.805000000000007</v>
      </c>
      <c r="AF3561" s="52">
        <f t="shared" si="299"/>
        <v>7.1578541512218111E-2</v>
      </c>
    </row>
    <row r="3562" spans="30:32">
      <c r="AD3562" s="50">
        <v>324.3</v>
      </c>
      <c r="AE3562" s="51">
        <v>84.724999999999994</v>
      </c>
      <c r="AF3562" s="52">
        <f t="shared" si="299"/>
        <v>7.1988422490584167E-2</v>
      </c>
    </row>
    <row r="3563" spans="30:32">
      <c r="AD3563" s="50">
        <v>324.2</v>
      </c>
      <c r="AE3563" s="51">
        <v>84.754000000000005</v>
      </c>
      <c r="AF3563" s="52">
        <f t="shared" si="299"/>
        <v>7.1839795933923811E-2</v>
      </c>
    </row>
    <row r="3564" spans="30:32">
      <c r="AD3564" s="50">
        <v>324.10000000000002</v>
      </c>
      <c r="AE3564" s="51">
        <v>84.787000000000006</v>
      </c>
      <c r="AF3564" s="52">
        <f t="shared" si="299"/>
        <v>7.1670731010586144E-2</v>
      </c>
    </row>
    <row r="3565" spans="30:32">
      <c r="AD3565" s="50">
        <v>324</v>
      </c>
      <c r="AE3565" s="51">
        <v>84.772000000000006</v>
      </c>
      <c r="AF3565" s="52">
        <f t="shared" si="299"/>
        <v>7.1747570544265185E-2</v>
      </c>
    </row>
    <row r="3566" spans="30:32">
      <c r="AD3566" s="50">
        <v>323.89999999999998</v>
      </c>
      <c r="AE3566" s="51">
        <v>84.622</v>
      </c>
      <c r="AF3566" s="52">
        <f t="shared" si="299"/>
        <v>7.2516714543611124E-2</v>
      </c>
    </row>
    <row r="3567" spans="30:32">
      <c r="AD3567" s="50">
        <v>323.8</v>
      </c>
      <c r="AE3567" s="51">
        <v>84.513000000000005</v>
      </c>
      <c r="AF3567" s="52">
        <f t="shared" si="299"/>
        <v>7.3076481653682801E-2</v>
      </c>
    </row>
    <row r="3568" spans="30:32">
      <c r="AD3568" s="50">
        <v>323.7</v>
      </c>
      <c r="AE3568" s="51">
        <v>84.474000000000004</v>
      </c>
      <c r="AF3568" s="52">
        <f t="shared" si="299"/>
        <v>7.327694068419921E-2</v>
      </c>
    </row>
    <row r="3569" spans="30:32">
      <c r="AD3569" s="50">
        <v>323.60000000000002</v>
      </c>
      <c r="AE3569" s="51">
        <v>84.361999999999995</v>
      </c>
      <c r="AF3569" s="52">
        <f t="shared" si="299"/>
        <v>7.3853132836442306E-2</v>
      </c>
    </row>
    <row r="3570" spans="30:32">
      <c r="AD3570" s="50">
        <v>323.5</v>
      </c>
      <c r="AE3570" s="51">
        <v>84.408000000000001</v>
      </c>
      <c r="AF3570" s="52">
        <f t="shared" si="299"/>
        <v>7.3616389971451368E-2</v>
      </c>
    </row>
    <row r="3571" spans="30:32">
      <c r="AD3571" s="50">
        <v>323.39999999999998</v>
      </c>
      <c r="AE3571" s="51">
        <v>84.393000000000001</v>
      </c>
      <c r="AF3571" s="52">
        <f t="shared" si="299"/>
        <v>7.3693574552652893E-2</v>
      </c>
    </row>
    <row r="3572" spans="30:32">
      <c r="AD3572" s="50">
        <v>323.3</v>
      </c>
      <c r="AE3572" s="51">
        <v>84.311000000000007</v>
      </c>
      <c r="AF3572" s="52">
        <f t="shared" si="299"/>
        <v>7.411575956688557E-2</v>
      </c>
    </row>
    <row r="3573" spans="30:32">
      <c r="AD3573" s="50">
        <v>323.2</v>
      </c>
      <c r="AE3573" s="51">
        <v>84.218000000000004</v>
      </c>
      <c r="AF3573" s="52">
        <f t="shared" si="299"/>
        <v>7.4595076371907876E-2</v>
      </c>
    </row>
    <row r="3574" spans="30:32">
      <c r="AD3574" s="50">
        <v>323.10000000000002</v>
      </c>
      <c r="AE3574" s="51">
        <v>84.103999999999999</v>
      </c>
      <c r="AF3574" s="52">
        <f t="shared" si="299"/>
        <v>7.518334859427897E-2</v>
      </c>
    </row>
    <row r="3575" spans="30:32">
      <c r="AD3575" s="50">
        <v>323</v>
      </c>
      <c r="AE3575" s="51">
        <v>84.284000000000006</v>
      </c>
      <c r="AF3575" s="52">
        <f t="shared" si="299"/>
        <v>7.4254861570048569E-2</v>
      </c>
    </row>
    <row r="3576" spans="30:32">
      <c r="AD3576" s="50">
        <v>322.89999999999998</v>
      </c>
      <c r="AE3576" s="51">
        <v>84.41</v>
      </c>
      <c r="AF3576" s="52">
        <f t="shared" si="299"/>
        <v>7.3606099730317801E-2</v>
      </c>
    </row>
    <row r="3577" spans="30:32">
      <c r="AD3577" s="50">
        <v>322.8</v>
      </c>
      <c r="AE3577" s="51">
        <v>84.475999999999999</v>
      </c>
      <c r="AF3577" s="52">
        <f t="shared" si="299"/>
        <v>7.3266658482792374E-2</v>
      </c>
    </row>
    <row r="3578" spans="30:32">
      <c r="AD3578" s="50">
        <v>322.7</v>
      </c>
      <c r="AE3578" s="51">
        <v>84.275000000000006</v>
      </c>
      <c r="AF3578" s="52">
        <f t="shared" si="299"/>
        <v>7.4301238806990411E-2</v>
      </c>
    </row>
    <row r="3579" spans="30:32">
      <c r="AD3579" s="50">
        <v>322.60000000000002</v>
      </c>
      <c r="AE3579" s="51">
        <v>84.063999999999993</v>
      </c>
      <c r="AF3579" s="52">
        <f t="shared" si="299"/>
        <v>7.538994889402377E-2</v>
      </c>
    </row>
    <row r="3580" spans="30:32">
      <c r="AD3580" s="50">
        <v>322.5</v>
      </c>
      <c r="AE3580" s="51">
        <v>84.066000000000003</v>
      </c>
      <c r="AF3580" s="52">
        <f t="shared" si="299"/>
        <v>7.5379616544486466E-2</v>
      </c>
    </row>
    <row r="3581" spans="30:32">
      <c r="AD3581" s="50">
        <v>322.39999999999998</v>
      </c>
      <c r="AE3581" s="51">
        <v>84.007999999999996</v>
      </c>
      <c r="AF3581" s="52">
        <f t="shared" si="299"/>
        <v>7.5679354528353934E-2</v>
      </c>
    </row>
    <row r="3582" spans="30:32">
      <c r="AD3582" s="50">
        <v>322.3</v>
      </c>
      <c r="AE3582" s="51">
        <v>84.123000000000005</v>
      </c>
      <c r="AF3582" s="52">
        <f t="shared" si="299"/>
        <v>7.5085247870955732E-2</v>
      </c>
    </row>
    <row r="3583" spans="30:32">
      <c r="AD3583" s="50">
        <v>322.2</v>
      </c>
      <c r="AE3583" s="51">
        <v>84.147999999999996</v>
      </c>
      <c r="AF3583" s="52">
        <f t="shared" si="299"/>
        <v>7.4956201723640217E-2</v>
      </c>
    </row>
    <row r="3584" spans="30:32">
      <c r="AD3584" s="50">
        <v>322.10000000000002</v>
      </c>
      <c r="AE3584" s="51">
        <v>84.177999999999997</v>
      </c>
      <c r="AF3584" s="52">
        <f t="shared" si="299"/>
        <v>7.4801396944877016E-2</v>
      </c>
    </row>
    <row r="3585" spans="30:32">
      <c r="AD3585" s="50">
        <v>322</v>
      </c>
      <c r="AE3585" s="51">
        <v>84.057000000000002</v>
      </c>
      <c r="AF3585" s="52">
        <f t="shared" si="299"/>
        <v>7.5426114053344442E-2</v>
      </c>
    </row>
    <row r="3586" spans="30:32">
      <c r="AD3586" s="50">
        <v>321.89999999999998</v>
      </c>
      <c r="AE3586" s="51">
        <v>84.212000000000003</v>
      </c>
      <c r="AF3586" s="52">
        <f t="shared" si="299"/>
        <v>7.4626018209971445E-2</v>
      </c>
    </row>
    <row r="3587" spans="30:32">
      <c r="AD3587" s="50">
        <v>321.8</v>
      </c>
      <c r="AE3587" s="51">
        <v>84.269000000000005</v>
      </c>
      <c r="AF3587" s="52">
        <f t="shared" si="299"/>
        <v>7.4332159716575127E-2</v>
      </c>
    </row>
    <row r="3588" spans="30:32">
      <c r="AD3588" s="50">
        <v>321.7</v>
      </c>
      <c r="AE3588" s="51">
        <v>84.366</v>
      </c>
      <c r="AF3588" s="52">
        <f t="shared" si="299"/>
        <v>7.383254137648379E-2</v>
      </c>
    </row>
    <row r="3589" spans="30:32">
      <c r="AD3589" s="50">
        <v>321.60000000000002</v>
      </c>
      <c r="AE3589" s="51">
        <v>84.391000000000005</v>
      </c>
      <c r="AF3589" s="52">
        <f t="shared" ref="AF3589:AF3652" si="300">-LOG(AE3589/100)</f>
        <v>7.3703866866661846E-2</v>
      </c>
    </row>
    <row r="3590" spans="30:32">
      <c r="AD3590" s="50">
        <v>321.5</v>
      </c>
      <c r="AE3590" s="51">
        <v>84.284999999999997</v>
      </c>
      <c r="AF3590" s="52">
        <f t="shared" si="300"/>
        <v>7.4249708849418949E-2</v>
      </c>
    </row>
    <row r="3591" spans="30:32">
      <c r="AD3591" s="50">
        <v>321.39999999999998</v>
      </c>
      <c r="AE3591" s="51">
        <v>84.31</v>
      </c>
      <c r="AF3591" s="52">
        <f t="shared" si="300"/>
        <v>7.4120910698499146E-2</v>
      </c>
    </row>
    <row r="3592" spans="30:32">
      <c r="AD3592" s="50">
        <v>321.3</v>
      </c>
      <c r="AE3592" s="51">
        <v>84.221999999999994</v>
      </c>
      <c r="AF3592" s="52">
        <f t="shared" si="300"/>
        <v>7.4574449704513712E-2</v>
      </c>
    </row>
    <row r="3593" spans="30:32">
      <c r="AD3593" s="50">
        <v>321.2</v>
      </c>
      <c r="AE3593" s="51">
        <v>84.147000000000006</v>
      </c>
      <c r="AF3593" s="52">
        <f t="shared" si="300"/>
        <v>7.4961362833380923E-2</v>
      </c>
    </row>
    <row r="3594" spans="30:32">
      <c r="AD3594" s="50">
        <v>321.10000000000002</v>
      </c>
      <c r="AE3594" s="51">
        <v>84.093999999999994</v>
      </c>
      <c r="AF3594" s="52">
        <f t="shared" si="300"/>
        <v>7.5234989455931947E-2</v>
      </c>
    </row>
    <row r="3595" spans="30:32">
      <c r="AD3595" s="50">
        <v>321</v>
      </c>
      <c r="AE3595" s="51">
        <v>84.055000000000007</v>
      </c>
      <c r="AF3595" s="52">
        <f t="shared" si="300"/>
        <v>7.5436447509181603E-2</v>
      </c>
    </row>
    <row r="3596" spans="30:32">
      <c r="AD3596" s="50">
        <v>320.89999999999998</v>
      </c>
      <c r="AE3596" s="51">
        <v>84.111000000000004</v>
      </c>
      <c r="AF3596" s="52">
        <f t="shared" si="300"/>
        <v>7.5147203644362753E-2</v>
      </c>
    </row>
    <row r="3597" spans="30:32">
      <c r="AD3597" s="50">
        <v>320.8</v>
      </c>
      <c r="AE3597" s="51">
        <v>84.248000000000005</v>
      </c>
      <c r="AF3597" s="52">
        <f t="shared" si="300"/>
        <v>7.444040024028703E-2</v>
      </c>
    </row>
    <row r="3598" spans="30:32">
      <c r="AD3598" s="50">
        <v>320.7</v>
      </c>
      <c r="AE3598" s="51">
        <v>84.263999999999996</v>
      </c>
      <c r="AF3598" s="52">
        <f t="shared" si="300"/>
        <v>7.435792882304279E-2</v>
      </c>
    </row>
    <row r="3599" spans="30:32">
      <c r="AD3599" s="50">
        <v>320.60000000000002</v>
      </c>
      <c r="AE3599" s="51">
        <v>84.162000000000006</v>
      </c>
      <c r="AF3599" s="52">
        <f t="shared" si="300"/>
        <v>7.4883952626608907E-2</v>
      </c>
    </row>
    <row r="3600" spans="30:32">
      <c r="AD3600" s="50">
        <v>320.5</v>
      </c>
      <c r="AE3600" s="51">
        <v>84.055000000000007</v>
      </c>
      <c r="AF3600" s="52">
        <f t="shared" si="300"/>
        <v>7.5436447509181603E-2</v>
      </c>
    </row>
    <row r="3601" spans="30:32">
      <c r="AD3601" s="50">
        <v>320.39999999999998</v>
      </c>
      <c r="AE3601" s="51">
        <v>84.012</v>
      </c>
      <c r="AF3601" s="52">
        <f t="shared" si="300"/>
        <v>7.565867630042937E-2</v>
      </c>
    </row>
    <row r="3602" spans="30:32">
      <c r="AD3602" s="50">
        <v>320.3</v>
      </c>
      <c r="AE3602" s="51">
        <v>84.073999999999998</v>
      </c>
      <c r="AF3602" s="52">
        <f t="shared" si="300"/>
        <v>7.5338289604343231E-2</v>
      </c>
    </row>
    <row r="3603" spans="30:32">
      <c r="AD3603" s="50">
        <v>320.2</v>
      </c>
      <c r="AE3603" s="51">
        <v>84.064999999999998</v>
      </c>
      <c r="AF3603" s="52">
        <f t="shared" si="300"/>
        <v>7.5384782688527857E-2</v>
      </c>
    </row>
    <row r="3604" spans="30:32">
      <c r="AD3604" s="50">
        <v>320.10000000000002</v>
      </c>
      <c r="AE3604" s="51">
        <v>84.025999999999996</v>
      </c>
      <c r="AF3604" s="52">
        <f t="shared" si="300"/>
        <v>7.558631025512158E-2</v>
      </c>
    </row>
    <row r="3605" spans="30:32">
      <c r="AD3605" s="50">
        <v>320</v>
      </c>
      <c r="AE3605" s="51">
        <v>83.971000000000004</v>
      </c>
      <c r="AF3605" s="52">
        <f t="shared" si="300"/>
        <v>7.5870674825418288E-2</v>
      </c>
    </row>
    <row r="3606" spans="30:32">
      <c r="AD3606" s="50">
        <v>319.89999999999998</v>
      </c>
      <c r="AE3606" s="51">
        <v>83.777000000000001</v>
      </c>
      <c r="AF3606" s="52">
        <f t="shared" si="300"/>
        <v>7.6875195499902405E-2</v>
      </c>
    </row>
    <row r="3607" spans="30:32">
      <c r="AD3607" s="50">
        <v>319.8</v>
      </c>
      <c r="AE3607" s="51">
        <v>83.754999999999995</v>
      </c>
      <c r="AF3607" s="52">
        <f t="shared" si="300"/>
        <v>7.6989257036287062E-2</v>
      </c>
    </row>
    <row r="3608" spans="30:32">
      <c r="AD3608" s="50">
        <v>319.7</v>
      </c>
      <c r="AE3608" s="51">
        <v>83.917000000000002</v>
      </c>
      <c r="AF3608" s="52">
        <f t="shared" si="300"/>
        <v>7.6150050395220922E-2</v>
      </c>
    </row>
    <row r="3609" spans="30:32">
      <c r="AD3609" s="50">
        <v>319.60000000000002</v>
      </c>
      <c r="AE3609" s="51">
        <v>84.01</v>
      </c>
      <c r="AF3609" s="52">
        <f t="shared" si="300"/>
        <v>7.5669015291321556E-2</v>
      </c>
    </row>
    <row r="3610" spans="30:32">
      <c r="AD3610" s="50">
        <v>319.5</v>
      </c>
      <c r="AE3610" s="51">
        <v>83.953999999999994</v>
      </c>
      <c r="AF3610" s="52">
        <f t="shared" si="300"/>
        <v>7.5958607012020424E-2</v>
      </c>
    </row>
    <row r="3611" spans="30:32">
      <c r="AD3611" s="50">
        <v>319.39999999999998</v>
      </c>
      <c r="AE3611" s="51">
        <v>83.87</v>
      </c>
      <c r="AF3611" s="52">
        <f t="shared" si="300"/>
        <v>7.6393356982540878E-2</v>
      </c>
    </row>
    <row r="3612" spans="30:32">
      <c r="AD3612" s="50">
        <v>319.3</v>
      </c>
      <c r="AE3612" s="51">
        <v>83.575999999999993</v>
      </c>
      <c r="AF3612" s="52">
        <f t="shared" si="300"/>
        <v>7.7918418302445142E-2</v>
      </c>
    </row>
    <row r="3613" spans="30:32">
      <c r="AD3613" s="50">
        <v>319.2</v>
      </c>
      <c r="AE3613" s="51">
        <v>83.632000000000005</v>
      </c>
      <c r="AF3613" s="52">
        <f t="shared" si="300"/>
        <v>7.762751724632462E-2</v>
      </c>
    </row>
    <row r="3614" spans="30:32">
      <c r="AD3614" s="50">
        <v>319.10000000000002</v>
      </c>
      <c r="AE3614" s="51">
        <v>83.679000000000002</v>
      </c>
      <c r="AF3614" s="52">
        <f t="shared" si="300"/>
        <v>7.7383518451429253E-2</v>
      </c>
    </row>
    <row r="3615" spans="30:32">
      <c r="AD3615" s="50">
        <v>319</v>
      </c>
      <c r="AE3615" s="51">
        <v>83.674000000000007</v>
      </c>
      <c r="AF3615" s="52">
        <f t="shared" si="300"/>
        <v>7.740946925494234E-2</v>
      </c>
    </row>
    <row r="3616" spans="30:32">
      <c r="AD3616" s="50">
        <v>318.89999999999998</v>
      </c>
      <c r="AE3616" s="51">
        <v>83.727999999999994</v>
      </c>
      <c r="AF3616" s="52">
        <f t="shared" si="300"/>
        <v>7.7129282604410015E-2</v>
      </c>
    </row>
    <row r="3617" spans="30:32">
      <c r="AD3617" s="50">
        <v>318.8</v>
      </c>
      <c r="AE3617" s="51">
        <v>83.504000000000005</v>
      </c>
      <c r="AF3617" s="52">
        <f t="shared" si="300"/>
        <v>7.8292720488614798E-2</v>
      </c>
    </row>
    <row r="3618" spans="30:32">
      <c r="AD3618" s="50">
        <v>318.7</v>
      </c>
      <c r="AE3618" s="51">
        <v>83.569000000000003</v>
      </c>
      <c r="AF3618" s="52">
        <f t="shared" si="300"/>
        <v>7.7954794638860778E-2</v>
      </c>
    </row>
    <row r="3619" spans="30:32">
      <c r="AD3619" s="50">
        <v>318.60000000000002</v>
      </c>
      <c r="AE3619" s="51">
        <v>83.558999999999997</v>
      </c>
      <c r="AF3619" s="52">
        <f t="shared" si="300"/>
        <v>7.8006766119692469E-2</v>
      </c>
    </row>
    <row r="3620" spans="30:32">
      <c r="AD3620" s="50">
        <v>318.5</v>
      </c>
      <c r="AE3620" s="51">
        <v>83.587000000000003</v>
      </c>
      <c r="AF3620" s="52">
        <f t="shared" si="300"/>
        <v>7.7861261643282123E-2</v>
      </c>
    </row>
    <row r="3621" spans="30:32">
      <c r="AD3621" s="50">
        <v>318.39999999999998</v>
      </c>
      <c r="AE3621" s="51">
        <v>83.587000000000003</v>
      </c>
      <c r="AF3621" s="52">
        <f t="shared" si="300"/>
        <v>7.7861261643282123E-2</v>
      </c>
    </row>
    <row r="3622" spans="30:32">
      <c r="AD3622" s="50">
        <v>318.3</v>
      </c>
      <c r="AE3622" s="51">
        <v>83.537000000000006</v>
      </c>
      <c r="AF3622" s="52">
        <f t="shared" si="300"/>
        <v>7.812112527439484E-2</v>
      </c>
    </row>
    <row r="3623" spans="30:32">
      <c r="AD3623" s="50">
        <v>318.2</v>
      </c>
      <c r="AE3623" s="51">
        <v>83.385999999999996</v>
      </c>
      <c r="AF3623" s="52">
        <f t="shared" si="300"/>
        <v>7.890685863235504E-2</v>
      </c>
    </row>
    <row r="3624" spans="30:32">
      <c r="AD3624" s="50">
        <v>318.10000000000002</v>
      </c>
      <c r="AE3624" s="51">
        <v>83.263000000000005</v>
      </c>
      <c r="AF3624" s="52">
        <f t="shared" si="300"/>
        <v>7.9547945359237579E-2</v>
      </c>
    </row>
    <row r="3625" spans="30:32">
      <c r="AD3625" s="50">
        <v>318</v>
      </c>
      <c r="AE3625" s="51">
        <v>83.323999999999998</v>
      </c>
      <c r="AF3625" s="52">
        <f t="shared" si="300"/>
        <v>7.9229889753696395E-2</v>
      </c>
    </row>
    <row r="3626" spans="30:32">
      <c r="AD3626" s="50">
        <v>317.89999999999998</v>
      </c>
      <c r="AE3626" s="51">
        <v>83.191999999999993</v>
      </c>
      <c r="AF3626" s="52">
        <f t="shared" si="300"/>
        <v>7.9918434801851526E-2</v>
      </c>
    </row>
    <row r="3627" spans="30:32">
      <c r="AD3627" s="50">
        <v>317.8</v>
      </c>
      <c r="AE3627" s="51">
        <v>83.168000000000006</v>
      </c>
      <c r="AF3627" s="52">
        <f t="shared" si="300"/>
        <v>8.0043742179081376E-2</v>
      </c>
    </row>
    <row r="3628" spans="30:32">
      <c r="AD3628" s="50">
        <v>317.7</v>
      </c>
      <c r="AE3628" s="51">
        <v>83.179000000000002</v>
      </c>
      <c r="AF3628" s="52">
        <f t="shared" si="300"/>
        <v>7.9986305143151706E-2</v>
      </c>
    </row>
    <row r="3629" spans="30:32">
      <c r="AD3629" s="50">
        <v>317.60000000000002</v>
      </c>
      <c r="AE3629" s="51">
        <v>83.135000000000005</v>
      </c>
      <c r="AF3629" s="52">
        <f t="shared" si="300"/>
        <v>8.0216098878490488E-2</v>
      </c>
    </row>
    <row r="3630" spans="30:32">
      <c r="AD3630" s="50">
        <v>317.5</v>
      </c>
      <c r="AE3630" s="51">
        <v>83.146000000000001</v>
      </c>
      <c r="AF3630" s="52">
        <f t="shared" si="300"/>
        <v>8.0158639044740368E-2</v>
      </c>
    </row>
    <row r="3631" spans="30:32">
      <c r="AD3631" s="50">
        <v>317.39999999999998</v>
      </c>
      <c r="AE3631" s="51">
        <v>83.173000000000002</v>
      </c>
      <c r="AF3631" s="52">
        <f t="shared" si="300"/>
        <v>8.0017633493788334E-2</v>
      </c>
    </row>
    <row r="3632" spans="30:32">
      <c r="AD3632" s="50">
        <v>317.3</v>
      </c>
      <c r="AE3632" s="51">
        <v>83.19</v>
      </c>
      <c r="AF3632" s="52">
        <f t="shared" si="300"/>
        <v>7.9928875702475921E-2</v>
      </c>
    </row>
    <row r="3633" spans="30:32">
      <c r="AD3633" s="50">
        <v>317.2</v>
      </c>
      <c r="AE3633" s="51">
        <v>82.957999999999998</v>
      </c>
      <c r="AF3633" s="52">
        <f t="shared" si="300"/>
        <v>8.1141726718267485E-2</v>
      </c>
    </row>
    <row r="3634" spans="30:32">
      <c r="AD3634" s="50">
        <v>317.10000000000002</v>
      </c>
      <c r="AE3634" s="51">
        <v>82.897999999999996</v>
      </c>
      <c r="AF3634" s="52">
        <f t="shared" si="300"/>
        <v>8.1455947126946329E-2</v>
      </c>
    </row>
    <row r="3635" spans="30:32">
      <c r="AD3635" s="50">
        <v>317</v>
      </c>
      <c r="AE3635" s="51">
        <v>82.951999999999998</v>
      </c>
      <c r="AF3635" s="52">
        <f t="shared" si="300"/>
        <v>8.1173138530606134E-2</v>
      </c>
    </row>
    <row r="3636" spans="30:32">
      <c r="AD3636" s="50">
        <v>316.89999999999998</v>
      </c>
      <c r="AE3636" s="51">
        <v>82.938999999999993</v>
      </c>
      <c r="AF3636" s="52">
        <f t="shared" si="300"/>
        <v>8.1241205252445214E-2</v>
      </c>
    </row>
    <row r="3637" spans="30:32">
      <c r="AD3637" s="50">
        <v>316.8</v>
      </c>
      <c r="AE3637" s="51">
        <v>82.894000000000005</v>
      </c>
      <c r="AF3637" s="52">
        <f t="shared" si="300"/>
        <v>8.1476903239761755E-2</v>
      </c>
    </row>
    <row r="3638" spans="30:32">
      <c r="AD3638" s="50">
        <v>316.7</v>
      </c>
      <c r="AE3638" s="51">
        <v>82.756</v>
      </c>
      <c r="AF3638" s="52">
        <f t="shared" si="300"/>
        <v>8.2200509063698718E-2</v>
      </c>
    </row>
    <row r="3639" spans="30:32">
      <c r="AD3639" s="50">
        <v>316.60000000000002</v>
      </c>
      <c r="AE3639" s="51">
        <v>82.64</v>
      </c>
      <c r="AF3639" s="52">
        <f t="shared" si="300"/>
        <v>8.2809691488435824E-2</v>
      </c>
    </row>
    <row r="3640" spans="30:32">
      <c r="AD3640" s="50">
        <v>316.5</v>
      </c>
      <c r="AE3640" s="51">
        <v>82.653999999999996</v>
      </c>
      <c r="AF3640" s="52">
        <f t="shared" si="300"/>
        <v>8.2736124114409171E-2</v>
      </c>
    </row>
    <row r="3641" spans="30:32">
      <c r="AD3641" s="50">
        <v>316.39999999999998</v>
      </c>
      <c r="AE3641" s="51">
        <v>82.825999999999993</v>
      </c>
      <c r="AF3641" s="52">
        <f t="shared" si="300"/>
        <v>8.1833311958406152E-2</v>
      </c>
    </row>
    <row r="3642" spans="30:32">
      <c r="AD3642" s="50">
        <v>316.3</v>
      </c>
      <c r="AE3642" s="51">
        <v>82.817999999999998</v>
      </c>
      <c r="AF3642" s="52">
        <f t="shared" si="300"/>
        <v>8.1875261631897747E-2</v>
      </c>
    </row>
    <row r="3643" spans="30:32">
      <c r="AD3643" s="50">
        <v>316.2</v>
      </c>
      <c r="AE3643" s="51">
        <v>82.724999999999994</v>
      </c>
      <c r="AF3643" s="52">
        <f t="shared" si="300"/>
        <v>8.2363224168109386E-2</v>
      </c>
    </row>
    <row r="3644" spans="30:32">
      <c r="AD3644" s="50">
        <v>316.10000000000002</v>
      </c>
      <c r="AE3644" s="51">
        <v>82.576999999999998</v>
      </c>
      <c r="AF3644" s="52">
        <f t="shared" si="300"/>
        <v>8.3140898975389371E-2</v>
      </c>
    </row>
    <row r="3645" spans="30:32">
      <c r="AD3645" s="50">
        <v>316</v>
      </c>
      <c r="AE3645" s="51">
        <v>82.477000000000004</v>
      </c>
      <c r="AF3645" s="52">
        <f t="shared" si="300"/>
        <v>8.3667144367857257E-2</v>
      </c>
    </row>
    <row r="3646" spans="30:32">
      <c r="AD3646" s="50">
        <v>315.89999999999998</v>
      </c>
      <c r="AE3646" s="51">
        <v>82.531000000000006</v>
      </c>
      <c r="AF3646" s="52">
        <f t="shared" si="300"/>
        <v>8.3382892660546215E-2</v>
      </c>
    </row>
    <row r="3647" spans="30:32">
      <c r="AD3647" s="50">
        <v>315.8</v>
      </c>
      <c r="AE3647" s="51">
        <v>82.521000000000001</v>
      </c>
      <c r="AF3647" s="52">
        <f t="shared" si="300"/>
        <v>8.3435517831090669E-2</v>
      </c>
    </row>
    <row r="3648" spans="30:32">
      <c r="AD3648" s="50">
        <v>315.7</v>
      </c>
      <c r="AE3648" s="51">
        <v>82.406000000000006</v>
      </c>
      <c r="AF3648" s="52">
        <f t="shared" si="300"/>
        <v>8.4041166069560524E-2</v>
      </c>
    </row>
    <row r="3649" spans="30:32">
      <c r="AD3649" s="50">
        <v>315.60000000000002</v>
      </c>
      <c r="AE3649" s="51">
        <v>82.378</v>
      </c>
      <c r="AF3649" s="52">
        <f t="shared" si="300"/>
        <v>8.4188756194940734E-2</v>
      </c>
    </row>
    <row r="3650" spans="30:32">
      <c r="AD3650" s="50">
        <v>315.5</v>
      </c>
      <c r="AE3650" s="51">
        <v>82.3</v>
      </c>
      <c r="AF3650" s="52">
        <f t="shared" si="300"/>
        <v>8.4600164787730178E-2</v>
      </c>
    </row>
    <row r="3651" spans="30:32">
      <c r="AD3651" s="50">
        <v>315.39999999999998</v>
      </c>
      <c r="AE3651" s="51">
        <v>82.314999999999998</v>
      </c>
      <c r="AF3651" s="52">
        <f t="shared" si="300"/>
        <v>8.4521017477380847E-2</v>
      </c>
    </row>
    <row r="3652" spans="30:32">
      <c r="AD3652" s="50">
        <v>315.3</v>
      </c>
      <c r="AE3652" s="51">
        <v>82.290999999999997</v>
      </c>
      <c r="AF3652" s="52">
        <f t="shared" si="300"/>
        <v>8.4647660098421854E-2</v>
      </c>
    </row>
    <row r="3653" spans="30:32">
      <c r="AD3653" s="50">
        <v>315.2</v>
      </c>
      <c r="AE3653" s="51">
        <v>82.278999999999996</v>
      </c>
      <c r="AF3653" s="52">
        <f t="shared" ref="AF3653:AF3716" si="301">-LOG(AE3653/100)</f>
        <v>8.4710995260262725E-2</v>
      </c>
    </row>
    <row r="3654" spans="30:32">
      <c r="AD3654" s="50">
        <v>315.10000000000002</v>
      </c>
      <c r="AE3654" s="51">
        <v>82.259</v>
      </c>
      <c r="AF3654" s="52">
        <f t="shared" si="301"/>
        <v>8.48165743931176E-2</v>
      </c>
    </row>
    <row r="3655" spans="30:32">
      <c r="AD3655" s="50">
        <v>315</v>
      </c>
      <c r="AE3655" s="51">
        <v>82.209000000000003</v>
      </c>
      <c r="AF3655" s="52">
        <f t="shared" si="301"/>
        <v>8.5080634572169328E-2</v>
      </c>
    </row>
    <row r="3656" spans="30:32">
      <c r="AD3656" s="50">
        <v>314.89999999999998</v>
      </c>
      <c r="AE3656" s="51">
        <v>82.168000000000006</v>
      </c>
      <c r="AF3656" s="52">
        <f t="shared" si="301"/>
        <v>8.5297283788632577E-2</v>
      </c>
    </row>
    <row r="3657" spans="30:32">
      <c r="AD3657" s="50">
        <v>314.8</v>
      </c>
      <c r="AE3657" s="51">
        <v>82.02</v>
      </c>
      <c r="AF3657" s="52">
        <f t="shared" si="301"/>
        <v>8.6080235048534126E-2</v>
      </c>
    </row>
    <row r="3658" spans="30:32">
      <c r="AD3658" s="50">
        <v>314.7</v>
      </c>
      <c r="AE3658" s="51">
        <v>82.009</v>
      </c>
      <c r="AF3658" s="52">
        <f t="shared" si="301"/>
        <v>8.6138483764408691E-2</v>
      </c>
    </row>
    <row r="3659" spans="30:32">
      <c r="AD3659" s="50">
        <v>314.60000000000002</v>
      </c>
      <c r="AE3659" s="51">
        <v>81.96</v>
      </c>
      <c r="AF3659" s="52">
        <f t="shared" si="301"/>
        <v>8.6398050270842672E-2</v>
      </c>
    </row>
    <row r="3660" spans="30:32">
      <c r="AD3660" s="50">
        <v>314.5</v>
      </c>
      <c r="AE3660" s="51">
        <v>81.977000000000004</v>
      </c>
      <c r="AF3660" s="52">
        <f t="shared" si="301"/>
        <v>8.6307979009091818E-2</v>
      </c>
    </row>
    <row r="3661" spans="30:32">
      <c r="AD3661" s="50">
        <v>314.39999999999998</v>
      </c>
      <c r="AE3661" s="51">
        <v>81.843999999999994</v>
      </c>
      <c r="AF3661" s="52">
        <f t="shared" si="301"/>
        <v>8.7013153300344384E-2</v>
      </c>
    </row>
    <row r="3662" spans="30:32">
      <c r="AD3662" s="50">
        <v>314.3</v>
      </c>
      <c r="AE3662" s="51">
        <v>81.816000000000003</v>
      </c>
      <c r="AF3662" s="52">
        <f t="shared" si="301"/>
        <v>8.7161757059502812E-2</v>
      </c>
    </row>
    <row r="3663" spans="30:32">
      <c r="AD3663" s="50">
        <v>314.2</v>
      </c>
      <c r="AE3663" s="51">
        <v>81.843000000000004</v>
      </c>
      <c r="AF3663" s="52">
        <f t="shared" si="301"/>
        <v>8.7018459701975623E-2</v>
      </c>
    </row>
    <row r="3664" spans="30:32">
      <c r="AD3664" s="50">
        <v>314.10000000000002</v>
      </c>
      <c r="AE3664" s="51">
        <v>81.876999999999995</v>
      </c>
      <c r="AF3664" s="52">
        <f t="shared" si="301"/>
        <v>8.6838078409561939E-2</v>
      </c>
    </row>
    <row r="3665" spans="30:32">
      <c r="AD3665" s="50">
        <v>314</v>
      </c>
      <c r="AE3665" s="51">
        <v>81.819000000000003</v>
      </c>
      <c r="AF3665" s="52">
        <f t="shared" si="301"/>
        <v>8.7145832795795727E-2</v>
      </c>
    </row>
    <row r="3666" spans="30:32">
      <c r="AD3666" s="50">
        <v>313.89999999999998</v>
      </c>
      <c r="AE3666" s="51">
        <v>81.682000000000002</v>
      </c>
      <c r="AF3666" s="52">
        <f t="shared" si="301"/>
        <v>8.7873637004276278E-2</v>
      </c>
    </row>
    <row r="3667" spans="30:32">
      <c r="AD3667" s="50">
        <v>313.8</v>
      </c>
      <c r="AE3667" s="51">
        <v>81.590999999999994</v>
      </c>
      <c r="AF3667" s="52">
        <f t="shared" si="301"/>
        <v>8.8357744014564754E-2</v>
      </c>
    </row>
    <row r="3668" spans="30:32">
      <c r="AD3668" s="50">
        <v>313.7</v>
      </c>
      <c r="AE3668" s="51">
        <v>81.614000000000004</v>
      </c>
      <c r="AF3668" s="52">
        <f t="shared" si="301"/>
        <v>8.823533632913956E-2</v>
      </c>
    </row>
    <row r="3669" spans="30:32">
      <c r="AD3669" s="50">
        <v>313.60000000000002</v>
      </c>
      <c r="AE3669" s="51">
        <v>81.578999999999994</v>
      </c>
      <c r="AF3669" s="52">
        <f t="shared" si="301"/>
        <v>8.8421622592639582E-2</v>
      </c>
    </row>
    <row r="3670" spans="30:32">
      <c r="AD3670" s="50">
        <v>313.5</v>
      </c>
      <c r="AE3670" s="51">
        <v>81.48</v>
      </c>
      <c r="AF3670" s="52">
        <f t="shared" si="301"/>
        <v>8.8948979671873443E-2</v>
      </c>
    </row>
    <row r="3671" spans="30:32">
      <c r="AD3671" s="50">
        <v>313.39999999999998</v>
      </c>
      <c r="AE3671" s="51">
        <v>81.492999999999995</v>
      </c>
      <c r="AF3671" s="52">
        <f t="shared" si="301"/>
        <v>8.8879694228558168E-2</v>
      </c>
    </row>
    <row r="3672" spans="30:32">
      <c r="AD3672" s="50">
        <v>313.3</v>
      </c>
      <c r="AE3672" s="51">
        <v>81.409000000000006</v>
      </c>
      <c r="AF3672" s="52">
        <f t="shared" si="301"/>
        <v>8.9327579947741265E-2</v>
      </c>
    </row>
    <row r="3673" spans="30:32">
      <c r="AD3673" s="50">
        <v>313.2</v>
      </c>
      <c r="AE3673" s="51">
        <v>81.379000000000005</v>
      </c>
      <c r="AF3673" s="52">
        <f t="shared" si="301"/>
        <v>8.9487651139777497E-2</v>
      </c>
    </row>
    <row r="3674" spans="30:32">
      <c r="AD3674" s="50">
        <v>313.10000000000002</v>
      </c>
      <c r="AE3674" s="51">
        <v>81.397000000000006</v>
      </c>
      <c r="AF3674" s="52">
        <f t="shared" si="301"/>
        <v>8.9391601344892185E-2</v>
      </c>
    </row>
    <row r="3675" spans="30:32">
      <c r="AD3675" s="50">
        <v>313</v>
      </c>
      <c r="AE3675" s="51">
        <v>81.37</v>
      </c>
      <c r="AF3675" s="52">
        <f t="shared" si="301"/>
        <v>8.9535684004386315E-2</v>
      </c>
    </row>
    <row r="3676" spans="30:32">
      <c r="AD3676" s="50">
        <v>312.89999999999998</v>
      </c>
      <c r="AE3676" s="51">
        <v>81.260999999999996</v>
      </c>
      <c r="AF3676" s="52">
        <f t="shared" si="301"/>
        <v>9.0117837537423209E-2</v>
      </c>
    </row>
    <row r="3677" spans="30:32">
      <c r="AD3677" s="50">
        <v>312.8</v>
      </c>
      <c r="AE3677" s="51">
        <v>81.218000000000004</v>
      </c>
      <c r="AF3677" s="52">
        <f t="shared" si="301"/>
        <v>9.0347709252018016E-2</v>
      </c>
    </row>
    <row r="3678" spans="30:32">
      <c r="AD3678" s="50">
        <v>312.7</v>
      </c>
      <c r="AE3678" s="51">
        <v>81.186000000000007</v>
      </c>
      <c r="AF3678" s="52">
        <f t="shared" si="301"/>
        <v>9.0518855573546511E-2</v>
      </c>
    </row>
    <row r="3679" spans="30:32">
      <c r="AD3679" s="50">
        <v>312.60000000000002</v>
      </c>
      <c r="AE3679" s="51">
        <v>81.102999999999994</v>
      </c>
      <c r="AF3679" s="52">
        <f t="shared" si="301"/>
        <v>9.0963080938676527E-2</v>
      </c>
    </row>
    <row r="3680" spans="30:32">
      <c r="AD3680" s="50">
        <v>312.5</v>
      </c>
      <c r="AE3680" s="51">
        <v>80.977000000000004</v>
      </c>
      <c r="AF3680" s="52">
        <f t="shared" si="301"/>
        <v>9.163831681902225E-2</v>
      </c>
    </row>
    <row r="3681" spans="30:32">
      <c r="AD3681" s="50">
        <v>312.39999999999998</v>
      </c>
      <c r="AE3681" s="51">
        <v>80.994</v>
      </c>
      <c r="AF3681" s="52">
        <f t="shared" si="301"/>
        <v>9.1547152274511615E-2</v>
      </c>
    </row>
    <row r="3682" spans="30:32">
      <c r="AD3682" s="50">
        <v>312.3</v>
      </c>
      <c r="AE3682" s="51">
        <v>81.004999999999995</v>
      </c>
      <c r="AF3682" s="52">
        <f t="shared" si="301"/>
        <v>9.1488173647380891E-2</v>
      </c>
    </row>
    <row r="3683" spans="30:32">
      <c r="AD3683" s="50">
        <v>312.2</v>
      </c>
      <c r="AE3683" s="51">
        <v>81.007999999999996</v>
      </c>
      <c r="AF3683" s="52">
        <f t="shared" si="301"/>
        <v>9.1472089957234326E-2</v>
      </c>
    </row>
    <row r="3684" spans="30:32">
      <c r="AD3684" s="50">
        <v>312.10000000000002</v>
      </c>
      <c r="AE3684" s="51">
        <v>80.965000000000003</v>
      </c>
      <c r="AF3684" s="52">
        <f t="shared" si="301"/>
        <v>9.17026797859163E-2</v>
      </c>
    </row>
    <row r="3685" spans="30:32">
      <c r="AD3685" s="50">
        <v>312</v>
      </c>
      <c r="AE3685" s="51">
        <v>80.867999999999995</v>
      </c>
      <c r="AF3685" s="52">
        <f t="shared" si="301"/>
        <v>9.2223297580672867E-2</v>
      </c>
    </row>
    <row r="3686" spans="30:32">
      <c r="AD3686" s="50">
        <v>311.89999999999998</v>
      </c>
      <c r="AE3686" s="51">
        <v>80.757999999999996</v>
      </c>
      <c r="AF3686" s="52">
        <f t="shared" si="301"/>
        <v>9.2814445049339056E-2</v>
      </c>
    </row>
    <row r="3687" spans="30:32">
      <c r="AD3687" s="50">
        <v>311.8</v>
      </c>
      <c r="AE3687" s="51">
        <v>80.682000000000002</v>
      </c>
      <c r="AF3687" s="52">
        <f t="shared" si="301"/>
        <v>9.3223344740405889E-2</v>
      </c>
    </row>
    <row r="3688" spans="30:32">
      <c r="AD3688" s="50">
        <v>311.7</v>
      </c>
      <c r="AE3688" s="51">
        <v>80.688999999999993</v>
      </c>
      <c r="AF3688" s="52">
        <f t="shared" si="301"/>
        <v>9.3185666825845961E-2</v>
      </c>
    </row>
    <row r="3689" spans="30:32">
      <c r="AD3689" s="50">
        <v>311.60000000000002</v>
      </c>
      <c r="AE3689" s="51">
        <v>80.626999999999995</v>
      </c>
      <c r="AF3689" s="52">
        <f t="shared" si="301"/>
        <v>9.3519499293844371E-2</v>
      </c>
    </row>
    <row r="3690" spans="30:32">
      <c r="AD3690" s="50">
        <v>311.5</v>
      </c>
      <c r="AE3690" s="51">
        <v>80.64</v>
      </c>
      <c r="AF3690" s="52">
        <f t="shared" si="301"/>
        <v>9.344948089854993E-2</v>
      </c>
    </row>
    <row r="3691" spans="30:32">
      <c r="AD3691" s="50">
        <v>311.39999999999998</v>
      </c>
      <c r="AE3691" s="51">
        <v>80.596000000000004</v>
      </c>
      <c r="AF3691" s="52">
        <f t="shared" si="301"/>
        <v>9.36865118057678E-2</v>
      </c>
    </row>
    <row r="3692" spans="30:32">
      <c r="AD3692" s="50">
        <v>311.3</v>
      </c>
      <c r="AE3692" s="51">
        <v>80.463999999999999</v>
      </c>
      <c r="AF3692" s="52">
        <f t="shared" si="301"/>
        <v>9.43983817231481E-2</v>
      </c>
    </row>
    <row r="3693" spans="30:32">
      <c r="AD3693" s="50">
        <v>311.2</v>
      </c>
      <c r="AE3693" s="51">
        <v>80.430999999999997</v>
      </c>
      <c r="AF3693" s="52">
        <f t="shared" si="301"/>
        <v>9.4576531673162392E-2</v>
      </c>
    </row>
    <row r="3694" spans="30:32">
      <c r="AD3694" s="50">
        <v>311.10000000000002</v>
      </c>
      <c r="AE3694" s="51">
        <v>80.462999999999994</v>
      </c>
      <c r="AF3694" s="52">
        <f t="shared" si="301"/>
        <v>9.4403779132929078E-2</v>
      </c>
    </row>
    <row r="3695" spans="30:32">
      <c r="AD3695" s="50">
        <v>311</v>
      </c>
      <c r="AE3695" s="51">
        <v>80.518000000000001</v>
      </c>
      <c r="AF3695" s="52">
        <f t="shared" si="301"/>
        <v>9.4107021162310442E-2</v>
      </c>
    </row>
    <row r="3696" spans="30:32">
      <c r="AD3696" s="50">
        <v>310.89999999999998</v>
      </c>
      <c r="AE3696" s="51">
        <v>80.364000000000004</v>
      </c>
      <c r="AF3696" s="52">
        <f t="shared" si="301"/>
        <v>9.4938455016195647E-2</v>
      </c>
    </row>
    <row r="3697" spans="30:32">
      <c r="AD3697" s="50">
        <v>310.8</v>
      </c>
      <c r="AE3697" s="51">
        <v>80.254000000000005</v>
      </c>
      <c r="AF3697" s="52">
        <f t="shared" si="301"/>
        <v>9.5533312385583782E-2</v>
      </c>
    </row>
    <row r="3698" spans="30:32">
      <c r="AD3698" s="50">
        <v>310.7</v>
      </c>
      <c r="AE3698" s="51">
        <v>80.096999999999994</v>
      </c>
      <c r="AF3698" s="52">
        <f t="shared" si="301"/>
        <v>9.6383749931303997E-2</v>
      </c>
    </row>
    <row r="3699" spans="30:32">
      <c r="AD3699" s="50">
        <v>310.60000000000002</v>
      </c>
      <c r="AE3699" s="51">
        <v>79.975999999999999</v>
      </c>
      <c r="AF3699" s="52">
        <f t="shared" si="301"/>
        <v>9.704032089978859E-2</v>
      </c>
    </row>
    <row r="3700" spans="30:32">
      <c r="AD3700" s="50">
        <v>310.5</v>
      </c>
      <c r="AE3700" s="51">
        <v>80.088999999999999</v>
      </c>
      <c r="AF3700" s="52">
        <f t="shared" si="301"/>
        <v>9.6427128951419527E-2</v>
      </c>
    </row>
    <row r="3701" spans="30:32">
      <c r="AD3701" s="50">
        <v>310.39999999999998</v>
      </c>
      <c r="AE3701" s="51">
        <v>80.155000000000001</v>
      </c>
      <c r="AF3701" s="52">
        <f t="shared" si="301"/>
        <v>9.6069381548378907E-2</v>
      </c>
    </row>
    <row r="3702" spans="30:32">
      <c r="AD3702" s="50">
        <v>310.3</v>
      </c>
      <c r="AE3702" s="51">
        <v>80.055000000000007</v>
      </c>
      <c r="AF3702" s="52">
        <f t="shared" si="301"/>
        <v>9.6611538140731229E-2</v>
      </c>
    </row>
    <row r="3703" spans="30:32">
      <c r="AD3703" s="50">
        <v>310.2</v>
      </c>
      <c r="AE3703" s="51">
        <v>79.953999999999994</v>
      </c>
      <c r="AF3703" s="52">
        <f t="shared" si="301"/>
        <v>9.7159804156990395E-2</v>
      </c>
    </row>
    <row r="3704" spans="30:32">
      <c r="AD3704" s="50">
        <v>310.10000000000002</v>
      </c>
      <c r="AE3704" s="51">
        <v>79.841999999999999</v>
      </c>
      <c r="AF3704" s="52">
        <f t="shared" si="301"/>
        <v>9.776859273665639E-2</v>
      </c>
    </row>
    <row r="3705" spans="30:32">
      <c r="AD3705" s="50">
        <v>310</v>
      </c>
      <c r="AE3705" s="51">
        <v>79.912000000000006</v>
      </c>
      <c r="AF3705" s="52">
        <f t="shared" si="301"/>
        <v>9.7387999879152601E-2</v>
      </c>
    </row>
    <row r="3706" spans="30:32">
      <c r="AD3706" s="50">
        <v>309.89999999999998</v>
      </c>
      <c r="AE3706" s="51">
        <v>79.88</v>
      </c>
      <c r="AF3706" s="52">
        <f t="shared" si="301"/>
        <v>9.7561943801335066E-2</v>
      </c>
    </row>
    <row r="3707" spans="30:32">
      <c r="AD3707" s="50">
        <v>309.8</v>
      </c>
      <c r="AE3707" s="51">
        <v>79.721000000000004</v>
      </c>
      <c r="AF3707" s="52">
        <f t="shared" si="301"/>
        <v>9.8427262257575393E-2</v>
      </c>
    </row>
    <row r="3708" spans="30:32">
      <c r="AD3708" s="50">
        <v>309.7</v>
      </c>
      <c r="AE3708" s="51">
        <v>79.623000000000005</v>
      </c>
      <c r="AF3708" s="52">
        <f t="shared" si="301"/>
        <v>9.8961463289214638E-2</v>
      </c>
    </row>
    <row r="3709" spans="30:32">
      <c r="AD3709" s="50">
        <v>309.60000000000002</v>
      </c>
      <c r="AE3709" s="51">
        <v>79.551000000000002</v>
      </c>
      <c r="AF3709" s="52">
        <f t="shared" si="301"/>
        <v>9.9354356661620499E-2</v>
      </c>
    </row>
    <row r="3710" spans="30:32">
      <c r="AD3710" s="50">
        <v>309.5</v>
      </c>
      <c r="AE3710" s="51">
        <v>79.501999999999995</v>
      </c>
      <c r="AF3710" s="52">
        <f t="shared" si="301"/>
        <v>9.9621945833613487E-2</v>
      </c>
    </row>
    <row r="3711" spans="30:32">
      <c r="AD3711" s="50">
        <v>309.39999999999998</v>
      </c>
      <c r="AE3711" s="51">
        <v>79.465000000000003</v>
      </c>
      <c r="AF3711" s="52">
        <f t="shared" si="301"/>
        <v>9.982411227218986E-2</v>
      </c>
    </row>
    <row r="3712" spans="30:32">
      <c r="AD3712" s="50">
        <v>309.3</v>
      </c>
      <c r="AE3712" s="51">
        <v>79.447999999999993</v>
      </c>
      <c r="AF3712" s="52">
        <f t="shared" si="301"/>
        <v>9.991703111735073E-2</v>
      </c>
    </row>
    <row r="3713" spans="30:32">
      <c r="AD3713" s="50">
        <v>309.2</v>
      </c>
      <c r="AE3713" s="51">
        <v>79.427999999999997</v>
      </c>
      <c r="AF3713" s="52">
        <f t="shared" si="301"/>
        <v>0.10002637286417146</v>
      </c>
    </row>
    <row r="3714" spans="30:32">
      <c r="AD3714" s="50">
        <v>309.10000000000002</v>
      </c>
      <c r="AE3714" s="51">
        <v>79.491</v>
      </c>
      <c r="AF3714" s="52">
        <f t="shared" si="301"/>
        <v>9.9682039539733314E-2</v>
      </c>
    </row>
    <row r="3715" spans="30:32">
      <c r="AD3715" s="50">
        <v>309</v>
      </c>
      <c r="AE3715" s="51">
        <v>79.289000000000001</v>
      </c>
      <c r="AF3715" s="52">
        <f t="shared" si="301"/>
        <v>0.10078705947515733</v>
      </c>
    </row>
    <row r="3716" spans="30:32">
      <c r="AD3716" s="50">
        <v>308.89999999999998</v>
      </c>
      <c r="AE3716" s="51">
        <v>79.3</v>
      </c>
      <c r="AF3716" s="52">
        <f t="shared" si="301"/>
        <v>0.10072681268239624</v>
      </c>
    </row>
    <row r="3717" spans="30:32">
      <c r="AD3717" s="50">
        <v>308.8</v>
      </c>
      <c r="AE3717" s="51">
        <v>79.213999999999999</v>
      </c>
      <c r="AF3717" s="52">
        <f t="shared" ref="AF3717:AF3780" si="302">-LOG(AE3717/100)</f>
        <v>0.10119805596826689</v>
      </c>
    </row>
    <row r="3718" spans="30:32">
      <c r="AD3718" s="50">
        <v>308.7</v>
      </c>
      <c r="AE3718" s="51">
        <v>79.209999999999994</v>
      </c>
      <c r="AF3718" s="52">
        <f t="shared" si="302"/>
        <v>0.10121998671017447</v>
      </c>
    </row>
    <row r="3719" spans="30:32">
      <c r="AD3719" s="50">
        <v>308.60000000000002</v>
      </c>
      <c r="AE3719" s="51">
        <v>79.25</v>
      </c>
      <c r="AF3719" s="52">
        <f t="shared" si="302"/>
        <v>0.10100072911021091</v>
      </c>
    </row>
    <row r="3720" spans="30:32">
      <c r="AD3720" s="50">
        <v>308.5</v>
      </c>
      <c r="AE3720" s="51">
        <v>79.119</v>
      </c>
      <c r="AF3720" s="52">
        <f t="shared" si="302"/>
        <v>0.10171921050625693</v>
      </c>
    </row>
    <row r="3721" spans="30:32">
      <c r="AD3721" s="50">
        <v>308.39999999999998</v>
      </c>
      <c r="AE3721" s="51">
        <v>78.960999999999999</v>
      </c>
      <c r="AF3721" s="52">
        <f t="shared" si="302"/>
        <v>0.1025873601898402</v>
      </c>
    </row>
    <row r="3722" spans="30:32">
      <c r="AD3722" s="50">
        <v>308.3</v>
      </c>
      <c r="AE3722" s="51">
        <v>78.81</v>
      </c>
      <c r="AF3722" s="52">
        <f t="shared" si="302"/>
        <v>0.10341867249426727</v>
      </c>
    </row>
    <row r="3723" spans="30:32">
      <c r="AD3723" s="50">
        <v>308.2</v>
      </c>
      <c r="AE3723" s="51">
        <v>78.816999999999993</v>
      </c>
      <c r="AF3723" s="52">
        <f t="shared" si="302"/>
        <v>0.1033800996434826</v>
      </c>
    </row>
    <row r="3724" spans="30:32">
      <c r="AD3724" s="50">
        <v>308.10000000000002</v>
      </c>
      <c r="AE3724" s="51">
        <v>78.813000000000002</v>
      </c>
      <c r="AF3724" s="52">
        <f t="shared" si="302"/>
        <v>0.10340214085299834</v>
      </c>
    </row>
    <row r="3725" spans="30:32">
      <c r="AD3725" s="50">
        <v>308</v>
      </c>
      <c r="AE3725" s="51">
        <v>78.828999999999994</v>
      </c>
      <c r="AF3725" s="52">
        <f t="shared" si="302"/>
        <v>0.10331398272592168</v>
      </c>
    </row>
    <row r="3726" spans="30:32">
      <c r="AD3726" s="50">
        <v>307.89999999999998</v>
      </c>
      <c r="AE3726" s="51">
        <v>78.736999999999995</v>
      </c>
      <c r="AF3726" s="52">
        <f t="shared" si="302"/>
        <v>0.10382113651386551</v>
      </c>
    </row>
    <row r="3727" spans="30:32">
      <c r="AD3727" s="50">
        <v>307.8</v>
      </c>
      <c r="AE3727" s="51">
        <v>78.694000000000003</v>
      </c>
      <c r="AF3727" s="52">
        <f t="shared" si="302"/>
        <v>0.10405837902882421</v>
      </c>
    </row>
    <row r="3728" spans="30:32">
      <c r="AD3728" s="50">
        <v>307.7</v>
      </c>
      <c r="AE3728" s="51">
        <v>78.646000000000001</v>
      </c>
      <c r="AF3728" s="52">
        <f t="shared" si="302"/>
        <v>0.10432336105218841</v>
      </c>
    </row>
    <row r="3729" spans="30:32">
      <c r="AD3729" s="50">
        <v>307.60000000000002</v>
      </c>
      <c r="AE3729" s="51">
        <v>78.552000000000007</v>
      </c>
      <c r="AF3729" s="52">
        <f t="shared" si="302"/>
        <v>0.1048427529803896</v>
      </c>
    </row>
    <row r="3730" spans="30:32">
      <c r="AD3730" s="50">
        <v>307.5</v>
      </c>
      <c r="AE3730" s="51">
        <v>78.504000000000005</v>
      </c>
      <c r="AF3730" s="52">
        <f t="shared" si="302"/>
        <v>0.1051082141634123</v>
      </c>
    </row>
    <row r="3731" spans="30:32">
      <c r="AD3731" s="50">
        <v>307.39999999999998</v>
      </c>
      <c r="AE3731" s="51">
        <v>78.474999999999994</v>
      </c>
      <c r="AF3731" s="52">
        <f t="shared" si="302"/>
        <v>0.10526867562791999</v>
      </c>
    </row>
    <row r="3732" spans="30:32">
      <c r="AD3732" s="50">
        <v>307.3</v>
      </c>
      <c r="AE3732" s="51">
        <v>78.394999999999996</v>
      </c>
      <c r="AF3732" s="52">
        <f t="shared" si="302"/>
        <v>0.10571163555096773</v>
      </c>
    </row>
    <row r="3733" spans="30:32">
      <c r="AD3733" s="50">
        <v>307.2</v>
      </c>
      <c r="AE3733" s="51">
        <v>78.337000000000003</v>
      </c>
      <c r="AF3733" s="52">
        <f t="shared" si="302"/>
        <v>0.10603306424581256</v>
      </c>
    </row>
    <row r="3734" spans="30:32">
      <c r="AD3734" s="50">
        <v>307.10000000000002</v>
      </c>
      <c r="AE3734" s="51">
        <v>78.239999999999995</v>
      </c>
      <c r="AF3734" s="52">
        <f t="shared" si="302"/>
        <v>0.10657115822045499</v>
      </c>
    </row>
    <row r="3735" spans="30:32">
      <c r="AD3735" s="50">
        <v>307</v>
      </c>
      <c r="AE3735" s="51">
        <v>78.108000000000004</v>
      </c>
      <c r="AF3735" s="52">
        <f t="shared" si="302"/>
        <v>0.10730448241049206</v>
      </c>
    </row>
    <row r="3736" spans="30:32">
      <c r="AD3736" s="50">
        <v>306.89999999999998</v>
      </c>
      <c r="AE3736" s="51">
        <v>78.114000000000004</v>
      </c>
      <c r="AF3736" s="52">
        <f t="shared" si="302"/>
        <v>0.10727112261619032</v>
      </c>
    </row>
    <row r="3737" spans="30:32">
      <c r="AD3737" s="50">
        <v>306.8</v>
      </c>
      <c r="AE3737" s="51">
        <v>78.09</v>
      </c>
      <c r="AF3737" s="52">
        <f t="shared" si="302"/>
        <v>0.10740457717110181</v>
      </c>
    </row>
    <row r="3738" spans="30:32">
      <c r="AD3738" s="50">
        <v>306.7</v>
      </c>
      <c r="AE3738" s="51">
        <v>78.17</v>
      </c>
      <c r="AF3738" s="52">
        <f t="shared" si="302"/>
        <v>0.10695988804288203</v>
      </c>
    </row>
    <row r="3739" spans="30:32">
      <c r="AD3739" s="50">
        <v>306.60000000000002</v>
      </c>
      <c r="AE3739" s="51">
        <v>78.063000000000002</v>
      </c>
      <c r="AF3739" s="52">
        <f t="shared" si="302"/>
        <v>0.10755476258064559</v>
      </c>
    </row>
    <row r="3740" spans="30:32">
      <c r="AD3740" s="50">
        <v>306.5</v>
      </c>
      <c r="AE3740" s="51">
        <v>77.798000000000002</v>
      </c>
      <c r="AF3740" s="52">
        <f t="shared" si="302"/>
        <v>0.1090315675363828</v>
      </c>
    </row>
    <row r="3741" spans="30:32">
      <c r="AD3741" s="50">
        <v>306.39999999999998</v>
      </c>
      <c r="AE3741" s="51">
        <v>77.745999999999995</v>
      </c>
      <c r="AF3741" s="52">
        <f t="shared" si="302"/>
        <v>0.1093219460003583</v>
      </c>
    </row>
    <row r="3742" spans="30:32">
      <c r="AD3742" s="50">
        <v>306.3</v>
      </c>
      <c r="AE3742" s="51">
        <v>77.641999999999996</v>
      </c>
      <c r="AF3742" s="52">
        <f t="shared" si="302"/>
        <v>0.10990328603771125</v>
      </c>
    </row>
    <row r="3743" spans="30:32">
      <c r="AD3743" s="50">
        <v>306.2</v>
      </c>
      <c r="AE3743" s="51">
        <v>77.739999999999995</v>
      </c>
      <c r="AF3743" s="52">
        <f t="shared" si="302"/>
        <v>0.1093554637047524</v>
      </c>
    </row>
    <row r="3744" spans="30:32">
      <c r="AD3744" s="50">
        <v>306.10000000000002</v>
      </c>
      <c r="AE3744" s="51">
        <v>77.661000000000001</v>
      </c>
      <c r="AF3744" s="52">
        <f t="shared" si="302"/>
        <v>0.10979702157150865</v>
      </c>
    </row>
    <row r="3745" spans="30:32">
      <c r="AD3745" s="50">
        <v>306</v>
      </c>
      <c r="AE3745" s="51">
        <v>77.596999999999994</v>
      </c>
      <c r="AF3745" s="52">
        <f t="shared" si="302"/>
        <v>0.11015506880148894</v>
      </c>
    </row>
    <row r="3746" spans="30:32">
      <c r="AD3746" s="50">
        <v>305.89999999999998</v>
      </c>
      <c r="AE3746" s="51">
        <v>77.474999999999994</v>
      </c>
      <c r="AF3746" s="52">
        <f t="shared" si="302"/>
        <v>0.11083841508867941</v>
      </c>
    </row>
    <row r="3747" spans="30:32">
      <c r="AD3747" s="50">
        <v>305.8</v>
      </c>
      <c r="AE3747" s="51">
        <v>77.483999999999995</v>
      </c>
      <c r="AF3747" s="52">
        <f t="shared" si="302"/>
        <v>0.11078796754653567</v>
      </c>
    </row>
    <row r="3748" spans="30:32">
      <c r="AD3748" s="50">
        <v>305.7</v>
      </c>
      <c r="AE3748" s="51">
        <v>77.406999999999996</v>
      </c>
      <c r="AF3748" s="52">
        <f t="shared" si="302"/>
        <v>0.1112197638143796</v>
      </c>
    </row>
    <row r="3749" spans="30:32">
      <c r="AD3749" s="50">
        <v>305.60000000000002</v>
      </c>
      <c r="AE3749" s="51">
        <v>77.394000000000005</v>
      </c>
      <c r="AF3749" s="52">
        <f t="shared" si="302"/>
        <v>0.11129270686097502</v>
      </c>
    </row>
    <row r="3750" spans="30:32">
      <c r="AD3750" s="50">
        <v>305.5</v>
      </c>
      <c r="AE3750" s="51">
        <v>77.432000000000002</v>
      </c>
      <c r="AF3750" s="52">
        <f t="shared" si="302"/>
        <v>0.11107952314966424</v>
      </c>
    </row>
    <row r="3751" spans="30:32">
      <c r="AD3751" s="50">
        <v>305.39999999999998</v>
      </c>
      <c r="AE3751" s="51">
        <v>77.25</v>
      </c>
      <c r="AF3751" s="52">
        <f t="shared" si="302"/>
        <v>0.11210151190312777</v>
      </c>
    </row>
    <row r="3752" spans="30:32">
      <c r="AD3752" s="50">
        <v>305.3</v>
      </c>
      <c r="AE3752" s="51">
        <v>77.09</v>
      </c>
      <c r="AF3752" s="52">
        <f t="shared" si="302"/>
        <v>0.1130019543289006</v>
      </c>
    </row>
    <row r="3753" spans="30:32">
      <c r="AD3753" s="50">
        <v>305.2</v>
      </c>
      <c r="AE3753" s="51">
        <v>76.951999999999998</v>
      </c>
      <c r="AF3753" s="52">
        <f t="shared" si="302"/>
        <v>0.11378008827335634</v>
      </c>
    </row>
    <row r="3754" spans="30:32">
      <c r="AD3754" s="50">
        <v>305.10000000000002</v>
      </c>
      <c r="AE3754" s="51">
        <v>77.013999999999996</v>
      </c>
      <c r="AF3754" s="52">
        <f t="shared" si="302"/>
        <v>0.11343031937199605</v>
      </c>
    </row>
    <row r="3755" spans="30:32">
      <c r="AD3755" s="50">
        <v>305</v>
      </c>
      <c r="AE3755" s="51">
        <v>76.977999999999994</v>
      </c>
      <c r="AF3755" s="52">
        <f t="shared" si="302"/>
        <v>0.11363337669488736</v>
      </c>
    </row>
    <row r="3756" spans="30:32">
      <c r="AD3756" s="50">
        <v>304.89999999999998</v>
      </c>
      <c r="AE3756" s="51">
        <v>77.022000000000006</v>
      </c>
      <c r="AF3756" s="52">
        <f t="shared" si="302"/>
        <v>0.11338520841276115</v>
      </c>
    </row>
    <row r="3757" spans="30:32">
      <c r="AD3757" s="50">
        <v>304.8</v>
      </c>
      <c r="AE3757" s="51">
        <v>76.905000000000001</v>
      </c>
      <c r="AF3757" s="52">
        <f t="shared" si="302"/>
        <v>0.11404542350391948</v>
      </c>
    </row>
    <row r="3758" spans="30:32">
      <c r="AD3758" s="50">
        <v>304.7</v>
      </c>
      <c r="AE3758" s="51">
        <v>76.713999999999999</v>
      </c>
      <c r="AF3758" s="52">
        <f t="shared" si="302"/>
        <v>0.11512537180181727</v>
      </c>
    </row>
    <row r="3759" spans="30:32">
      <c r="AD3759" s="50">
        <v>304.60000000000002</v>
      </c>
      <c r="AE3759" s="51">
        <v>76.697000000000003</v>
      </c>
      <c r="AF3759" s="52">
        <f t="shared" si="302"/>
        <v>0.11522162312959129</v>
      </c>
    </row>
    <row r="3760" spans="30:32">
      <c r="AD3760" s="50">
        <v>304.5</v>
      </c>
      <c r="AE3760" s="51">
        <v>76.757999999999996</v>
      </c>
      <c r="AF3760" s="52">
        <f t="shared" si="302"/>
        <v>0.11487634972968296</v>
      </c>
    </row>
    <row r="3761" spans="30:32">
      <c r="AD3761" s="50">
        <v>304.39999999999998</v>
      </c>
      <c r="AE3761" s="51">
        <v>76.828000000000003</v>
      </c>
      <c r="AF3761" s="52">
        <f t="shared" si="302"/>
        <v>0.11448047229504382</v>
      </c>
    </row>
    <row r="3762" spans="30:32">
      <c r="AD3762" s="50">
        <v>304.3</v>
      </c>
      <c r="AE3762" s="51">
        <v>76.659000000000006</v>
      </c>
      <c r="AF3762" s="52">
        <f t="shared" si="302"/>
        <v>0.115436850321877</v>
      </c>
    </row>
    <row r="3763" spans="30:32">
      <c r="AD3763" s="50">
        <v>304.2</v>
      </c>
      <c r="AE3763" s="51">
        <v>76.531999999999996</v>
      </c>
      <c r="AF3763" s="52">
        <f t="shared" si="302"/>
        <v>0.11615693716559064</v>
      </c>
    </row>
    <row r="3764" spans="30:32">
      <c r="AD3764" s="50">
        <v>304.10000000000002</v>
      </c>
      <c r="AE3764" s="51">
        <v>76.408000000000001</v>
      </c>
      <c r="AF3764" s="52">
        <f t="shared" si="302"/>
        <v>0.11686116794309967</v>
      </c>
    </row>
    <row r="3765" spans="30:32">
      <c r="AD3765" s="50">
        <v>304</v>
      </c>
      <c r="AE3765" s="51">
        <v>76.346000000000004</v>
      </c>
      <c r="AF3765" s="52">
        <f t="shared" si="302"/>
        <v>0.11721371202517421</v>
      </c>
    </row>
    <row r="3766" spans="30:32">
      <c r="AD3766" s="50">
        <v>303.89999999999998</v>
      </c>
      <c r="AE3766" s="51">
        <v>76.221999999999994</v>
      </c>
      <c r="AF3766" s="52">
        <f t="shared" si="302"/>
        <v>0.11791965989908924</v>
      </c>
    </row>
    <row r="3767" spans="30:32">
      <c r="AD3767" s="50">
        <v>303.8</v>
      </c>
      <c r="AE3767" s="51">
        <v>76.108999999999995</v>
      </c>
      <c r="AF3767" s="52">
        <f t="shared" si="302"/>
        <v>0.11856398423828103</v>
      </c>
    </row>
    <row r="3768" spans="30:32">
      <c r="AD3768" s="50">
        <v>303.7</v>
      </c>
      <c r="AE3768" s="51">
        <v>76.14</v>
      </c>
      <c r="AF3768" s="52">
        <f t="shared" si="302"/>
        <v>0.11838712752165161</v>
      </c>
    </row>
    <row r="3769" spans="30:32">
      <c r="AD3769" s="50">
        <v>303.60000000000002</v>
      </c>
      <c r="AE3769" s="51">
        <v>76.228999999999999</v>
      </c>
      <c r="AF3769" s="52">
        <f t="shared" si="302"/>
        <v>0.11787977742701015</v>
      </c>
    </row>
    <row r="3770" spans="30:32">
      <c r="AD3770" s="50">
        <v>303.5</v>
      </c>
      <c r="AE3770" s="51">
        <v>76.247</v>
      </c>
      <c r="AF3770" s="52">
        <f t="shared" si="302"/>
        <v>0.11777723931333231</v>
      </c>
    </row>
    <row r="3771" spans="30:32">
      <c r="AD3771" s="50">
        <v>303.39999999999998</v>
      </c>
      <c r="AE3771" s="51">
        <v>76.096000000000004</v>
      </c>
      <c r="AF3771" s="52">
        <f t="shared" si="302"/>
        <v>0.11863817139742121</v>
      </c>
    </row>
    <row r="3772" spans="30:32">
      <c r="AD3772" s="50">
        <v>303.3</v>
      </c>
      <c r="AE3772" s="51">
        <v>76.015000000000001</v>
      </c>
      <c r="AF3772" s="52">
        <f t="shared" si="302"/>
        <v>0.11910070016074809</v>
      </c>
    </row>
    <row r="3773" spans="30:32">
      <c r="AD3773" s="50">
        <v>303.2</v>
      </c>
      <c r="AE3773" s="51">
        <v>75.91</v>
      </c>
      <c r="AF3773" s="52">
        <f t="shared" si="302"/>
        <v>0.11970100857424741</v>
      </c>
    </row>
    <row r="3774" spans="30:32">
      <c r="AD3774" s="50">
        <v>303.10000000000002</v>
      </c>
      <c r="AE3774" s="51">
        <v>75.796000000000006</v>
      </c>
      <c r="AF3774" s="52">
        <f t="shared" si="302"/>
        <v>0.12035371288727431</v>
      </c>
    </row>
    <row r="3775" spans="30:32">
      <c r="AD3775" s="50">
        <v>303</v>
      </c>
      <c r="AE3775" s="51">
        <v>75.703999999999994</v>
      </c>
      <c r="AF3775" s="52">
        <f t="shared" si="302"/>
        <v>0.12088117291693057</v>
      </c>
    </row>
    <row r="3776" spans="30:32">
      <c r="AD3776" s="50">
        <v>302.89999999999998</v>
      </c>
      <c r="AE3776" s="51">
        <v>75.573999999999998</v>
      </c>
      <c r="AF3776" s="52">
        <f t="shared" si="302"/>
        <v>0.12162759072447804</v>
      </c>
    </row>
    <row r="3777" spans="30:32">
      <c r="AD3777" s="50">
        <v>302.8</v>
      </c>
      <c r="AE3777" s="51">
        <v>75.587000000000003</v>
      </c>
      <c r="AF3777" s="52">
        <f t="shared" si="302"/>
        <v>0.12155289118850429</v>
      </c>
    </row>
    <row r="3778" spans="30:32">
      <c r="AD3778" s="50">
        <v>302.7</v>
      </c>
      <c r="AE3778" s="51">
        <v>75.436999999999998</v>
      </c>
      <c r="AF3778" s="52">
        <f t="shared" si="302"/>
        <v>0.12241559107338029</v>
      </c>
    </row>
    <row r="3779" spans="30:32">
      <c r="AD3779" s="50">
        <v>302.60000000000002</v>
      </c>
      <c r="AE3779" s="51">
        <v>75.462999999999994</v>
      </c>
      <c r="AF3779" s="52">
        <f t="shared" si="302"/>
        <v>0.12226593359635948</v>
      </c>
    </row>
    <row r="3780" spans="30:32">
      <c r="AD3780" s="50">
        <v>302.5</v>
      </c>
      <c r="AE3780" s="51">
        <v>75.418999999999997</v>
      </c>
      <c r="AF3780" s="52">
        <f t="shared" si="302"/>
        <v>0.12251923031492667</v>
      </c>
    </row>
    <row r="3781" spans="30:32">
      <c r="AD3781" s="50">
        <v>302.39999999999998</v>
      </c>
      <c r="AE3781" s="51">
        <v>75.311999999999998</v>
      </c>
      <c r="AF3781" s="52">
        <f t="shared" ref="AF3781:AF3844" si="303">-LOG(AE3781/100)</f>
        <v>0.1231358190374761</v>
      </c>
    </row>
    <row r="3782" spans="30:32">
      <c r="AD3782" s="50">
        <v>302.3</v>
      </c>
      <c r="AE3782" s="51">
        <v>75.221000000000004</v>
      </c>
      <c r="AF3782" s="52">
        <f t="shared" si="303"/>
        <v>0.12366089729496638</v>
      </c>
    </row>
    <row r="3783" spans="30:32">
      <c r="AD3783" s="50">
        <v>302.2</v>
      </c>
      <c r="AE3783" s="51">
        <v>75.150999999999996</v>
      </c>
      <c r="AF3783" s="52">
        <f t="shared" si="303"/>
        <v>0.1240652360805007</v>
      </c>
    </row>
    <row r="3784" spans="30:32">
      <c r="AD3784" s="50">
        <v>302.10000000000002</v>
      </c>
      <c r="AE3784" s="51">
        <v>75.09</v>
      </c>
      <c r="AF3784" s="52">
        <f t="shared" si="303"/>
        <v>0.12441789567211431</v>
      </c>
    </row>
    <row r="3785" spans="30:32">
      <c r="AD3785" s="50">
        <v>302</v>
      </c>
      <c r="AE3785" s="51">
        <v>74.921000000000006</v>
      </c>
      <c r="AF3785" s="52">
        <f t="shared" si="303"/>
        <v>0.12539643455916619</v>
      </c>
    </row>
    <row r="3786" spans="30:32">
      <c r="AD3786" s="50">
        <v>301.89999999999998</v>
      </c>
      <c r="AE3786" s="51">
        <v>74.876000000000005</v>
      </c>
      <c r="AF3786" s="52">
        <f t="shared" si="303"/>
        <v>0.12565736438117239</v>
      </c>
    </row>
    <row r="3787" spans="30:32">
      <c r="AD3787" s="50">
        <v>301.8</v>
      </c>
      <c r="AE3787" s="51">
        <v>74.846999999999994</v>
      </c>
      <c r="AF3787" s="52">
        <f t="shared" si="303"/>
        <v>0.12582560226222875</v>
      </c>
    </row>
    <row r="3788" spans="30:32">
      <c r="AD3788" s="50">
        <v>301.7</v>
      </c>
      <c r="AE3788" s="51">
        <v>74.760000000000005</v>
      </c>
      <c r="AF3788" s="52">
        <f t="shared" si="303"/>
        <v>0.12633070729320553</v>
      </c>
    </row>
    <row r="3789" spans="30:32">
      <c r="AD3789" s="50">
        <v>301.60000000000002</v>
      </c>
      <c r="AE3789" s="51">
        <v>74.641999999999996</v>
      </c>
      <c r="AF3789" s="52">
        <f t="shared" si="303"/>
        <v>0.12701673237346739</v>
      </c>
    </row>
    <row r="3790" spans="30:32">
      <c r="AD3790" s="50">
        <v>301.5</v>
      </c>
      <c r="AE3790" s="51">
        <v>74.653999999999996</v>
      </c>
      <c r="AF3790" s="52">
        <f t="shared" si="303"/>
        <v>0.12694691759217303</v>
      </c>
    </row>
    <row r="3791" spans="30:32">
      <c r="AD3791" s="50">
        <v>301.39999999999998</v>
      </c>
      <c r="AE3791" s="51">
        <v>74.668000000000006</v>
      </c>
      <c r="AF3791" s="52">
        <f t="shared" si="303"/>
        <v>0.12686548119613678</v>
      </c>
    </row>
    <row r="3792" spans="30:32">
      <c r="AD3792" s="50">
        <v>301.3</v>
      </c>
      <c r="AE3792" s="51">
        <v>74.625</v>
      </c>
      <c r="AF3792" s="52">
        <f t="shared" si="303"/>
        <v>0.12711565586257451</v>
      </c>
    </row>
    <row r="3793" spans="30:32">
      <c r="AD3793" s="50">
        <v>301.2</v>
      </c>
      <c r="AE3793" s="51">
        <v>74.433000000000007</v>
      </c>
      <c r="AF3793" s="52">
        <f t="shared" si="303"/>
        <v>0.12823447654501957</v>
      </c>
    </row>
    <row r="3794" spans="30:32">
      <c r="AD3794" s="50">
        <v>301.10000000000002</v>
      </c>
      <c r="AE3794" s="51">
        <v>74.367000000000004</v>
      </c>
      <c r="AF3794" s="52">
        <f t="shared" si="303"/>
        <v>0.12861973780423083</v>
      </c>
    </row>
    <row r="3795" spans="30:32">
      <c r="AD3795" s="50">
        <v>301</v>
      </c>
      <c r="AE3795" s="51">
        <v>74.295000000000002</v>
      </c>
      <c r="AF3795" s="52">
        <f t="shared" si="303"/>
        <v>0.12904041296186269</v>
      </c>
    </row>
    <row r="3796" spans="30:32">
      <c r="AD3796" s="50">
        <v>300.89999999999998</v>
      </c>
      <c r="AE3796" s="51">
        <v>74.099999999999994</v>
      </c>
      <c r="AF3796" s="52">
        <f t="shared" si="303"/>
        <v>0.13018179202067184</v>
      </c>
    </row>
    <row r="3797" spans="30:32">
      <c r="AD3797" s="50">
        <v>300.8</v>
      </c>
      <c r="AE3797" s="51">
        <v>74.001000000000005</v>
      </c>
      <c r="AF3797" s="52">
        <f t="shared" si="303"/>
        <v>0.13076241146432774</v>
      </c>
    </row>
    <row r="3798" spans="30:32">
      <c r="AD3798" s="50">
        <v>300.7</v>
      </c>
      <c r="AE3798" s="51">
        <v>73.882000000000005</v>
      </c>
      <c r="AF3798" s="52">
        <f t="shared" si="303"/>
        <v>0.13146135663722031</v>
      </c>
    </row>
    <row r="3799" spans="30:32">
      <c r="AD3799" s="50">
        <v>300.60000000000002</v>
      </c>
      <c r="AE3799" s="51">
        <v>73.838999999999999</v>
      </c>
      <c r="AF3799" s="52">
        <f t="shared" si="303"/>
        <v>0.13171419358321032</v>
      </c>
    </row>
    <row r="3800" spans="30:32">
      <c r="AD3800" s="50">
        <v>300.5</v>
      </c>
      <c r="AE3800" s="51">
        <v>73.757000000000005</v>
      </c>
      <c r="AF3800" s="52">
        <f t="shared" si="303"/>
        <v>0.13219675613477086</v>
      </c>
    </row>
    <row r="3801" spans="30:32">
      <c r="AD3801" s="50">
        <v>300.39999999999998</v>
      </c>
      <c r="AE3801" s="51">
        <v>73.762</v>
      </c>
      <c r="AF3801" s="52">
        <f t="shared" si="303"/>
        <v>0.13216731623332972</v>
      </c>
    </row>
    <row r="3802" spans="30:32">
      <c r="AD3802" s="50">
        <v>300.3</v>
      </c>
      <c r="AE3802" s="51">
        <v>73.724000000000004</v>
      </c>
      <c r="AF3802" s="52">
        <f t="shared" si="303"/>
        <v>0.13239110955171263</v>
      </c>
    </row>
    <row r="3803" spans="30:32">
      <c r="AD3803" s="50">
        <v>300.2</v>
      </c>
      <c r="AE3803" s="51">
        <v>73.593000000000004</v>
      </c>
      <c r="AF3803" s="52">
        <f t="shared" si="303"/>
        <v>0.13316349280856937</v>
      </c>
    </row>
    <row r="3804" spans="30:32">
      <c r="AD3804" s="50">
        <v>300.10000000000002</v>
      </c>
      <c r="AE3804" s="51">
        <v>73.512</v>
      </c>
      <c r="AF3804" s="52">
        <f t="shared" si="303"/>
        <v>0.1336417614818213</v>
      </c>
    </row>
    <row r="3805" spans="30:32">
      <c r="AD3805" s="50">
        <v>300</v>
      </c>
      <c r="AE3805" s="51">
        <v>73.399000000000001</v>
      </c>
      <c r="AF3805" s="52">
        <f t="shared" si="303"/>
        <v>0.13430985694278966</v>
      </c>
    </row>
    <row r="3806" spans="30:32">
      <c r="AD3806" s="50">
        <v>299.89999999999998</v>
      </c>
      <c r="AE3806" s="51">
        <v>73.212999999999994</v>
      </c>
      <c r="AF3806" s="52">
        <f t="shared" si="303"/>
        <v>0.13541179698823547</v>
      </c>
    </row>
    <row r="3807" spans="30:32">
      <c r="AD3807" s="50">
        <v>299.8</v>
      </c>
      <c r="AE3807" s="51">
        <v>73.069000000000003</v>
      </c>
      <c r="AF3807" s="52">
        <f t="shared" si="303"/>
        <v>0.13626683623564639</v>
      </c>
    </row>
    <row r="3808" spans="30:32">
      <c r="AD3808" s="50">
        <v>299.7</v>
      </c>
      <c r="AE3808" s="51">
        <v>72.882000000000005</v>
      </c>
      <c r="AF3808" s="52">
        <f t="shared" si="303"/>
        <v>0.13737971812828051</v>
      </c>
    </row>
    <row r="3809" spans="30:32">
      <c r="AD3809" s="50">
        <v>299.60000000000002</v>
      </c>
      <c r="AE3809" s="51">
        <v>72.772000000000006</v>
      </c>
      <c r="AF3809" s="52">
        <f t="shared" si="303"/>
        <v>0.13803568915676817</v>
      </c>
    </row>
    <row r="3810" spans="30:32">
      <c r="AD3810" s="50">
        <v>299.5</v>
      </c>
      <c r="AE3810" s="51">
        <v>72.691999999999993</v>
      </c>
      <c r="AF3810" s="52">
        <f t="shared" si="303"/>
        <v>0.13851338208498573</v>
      </c>
    </row>
    <row r="3811" spans="30:32">
      <c r="AD3811" s="50">
        <v>299.39999999999998</v>
      </c>
      <c r="AE3811" s="51">
        <v>72.582999999999998</v>
      </c>
      <c r="AF3811" s="52">
        <f t="shared" si="303"/>
        <v>0.13916508550829293</v>
      </c>
    </row>
    <row r="3812" spans="30:32">
      <c r="AD3812" s="50">
        <v>299.3</v>
      </c>
      <c r="AE3812" s="51">
        <v>72.430000000000007</v>
      </c>
      <c r="AF3812" s="52">
        <f t="shared" si="303"/>
        <v>0.14008151479928421</v>
      </c>
    </row>
    <row r="3813" spans="30:32">
      <c r="AD3813" s="50">
        <v>299.2</v>
      </c>
      <c r="AE3813" s="51">
        <v>72.408000000000001</v>
      </c>
      <c r="AF3813" s="52">
        <f t="shared" si="303"/>
        <v>0.1402134481134055</v>
      </c>
    </row>
    <row r="3814" spans="30:32">
      <c r="AD3814" s="50">
        <v>299.10000000000002</v>
      </c>
      <c r="AE3814" s="51">
        <v>72.338999999999999</v>
      </c>
      <c r="AF3814" s="52">
        <f t="shared" si="303"/>
        <v>0.14062749913375339</v>
      </c>
    </row>
    <row r="3815" spans="30:32">
      <c r="AD3815" s="50">
        <v>299</v>
      </c>
      <c r="AE3815" s="51">
        <v>72.191000000000003</v>
      </c>
      <c r="AF3815" s="52">
        <f t="shared" si="303"/>
        <v>0.14151694223605776</v>
      </c>
    </row>
    <row r="3816" spans="30:32">
      <c r="AD3816" s="50">
        <v>298.89999999999998</v>
      </c>
      <c r="AE3816" s="51">
        <v>72.048000000000002</v>
      </c>
      <c r="AF3816" s="52">
        <f t="shared" si="303"/>
        <v>0.14237807038114239</v>
      </c>
    </row>
    <row r="3817" spans="30:32">
      <c r="AD3817" s="50">
        <v>298.8</v>
      </c>
      <c r="AE3817" s="51">
        <v>71.713999999999999</v>
      </c>
      <c r="AF3817" s="52">
        <f t="shared" si="303"/>
        <v>0.14439605312958426</v>
      </c>
    </row>
    <row r="3818" spans="30:32">
      <c r="AD3818" s="50">
        <v>298.7</v>
      </c>
      <c r="AE3818" s="51">
        <v>71.513000000000005</v>
      </c>
      <c r="AF3818" s="52">
        <f t="shared" si="303"/>
        <v>0.14561500274339723</v>
      </c>
    </row>
    <row r="3819" spans="30:32">
      <c r="AD3819" s="50">
        <v>298.60000000000002</v>
      </c>
      <c r="AE3819" s="51">
        <v>71.442999999999998</v>
      </c>
      <c r="AF3819" s="52">
        <f t="shared" si="303"/>
        <v>0.14604031705217654</v>
      </c>
    </row>
    <row r="3820" spans="30:32">
      <c r="AD3820" s="50">
        <v>298.5</v>
      </c>
      <c r="AE3820" s="51">
        <v>71.286000000000001</v>
      </c>
      <c r="AF3820" s="52">
        <f t="shared" si="303"/>
        <v>0.14699575373510906</v>
      </c>
    </row>
    <row r="3821" spans="30:32">
      <c r="AD3821" s="50">
        <v>298.39999999999998</v>
      </c>
      <c r="AE3821" s="51">
        <v>71.128</v>
      </c>
      <c r="AF3821" s="52">
        <f t="shared" si="303"/>
        <v>0.14795940276250824</v>
      </c>
    </row>
    <row r="3822" spans="30:32">
      <c r="AD3822" s="50">
        <v>298.3</v>
      </c>
      <c r="AE3822" s="51">
        <v>70.972999999999999</v>
      </c>
      <c r="AF3822" s="52">
        <f t="shared" si="303"/>
        <v>0.14890683693105192</v>
      </c>
    </row>
    <row r="3823" spans="30:32">
      <c r="AD3823" s="50">
        <v>298.2</v>
      </c>
      <c r="AE3823" s="51">
        <v>70.912999999999997</v>
      </c>
      <c r="AF3823" s="52">
        <f t="shared" si="303"/>
        <v>0.14927414125237232</v>
      </c>
    </row>
    <row r="3824" spans="30:32">
      <c r="AD3824" s="50">
        <v>298.10000000000002</v>
      </c>
      <c r="AE3824" s="51">
        <v>70.77</v>
      </c>
      <c r="AF3824" s="52">
        <f t="shared" si="303"/>
        <v>0.1501508043947421</v>
      </c>
    </row>
    <row r="3825" spans="30:32">
      <c r="AD3825" s="50">
        <v>298</v>
      </c>
      <c r="AE3825" s="51">
        <v>70.668999999999997</v>
      </c>
      <c r="AF3825" s="52">
        <f t="shared" si="303"/>
        <v>0.15077105411551134</v>
      </c>
    </row>
    <row r="3826" spans="30:32">
      <c r="AD3826" s="50">
        <v>297.89999999999998</v>
      </c>
      <c r="AE3826" s="51">
        <v>70.444000000000003</v>
      </c>
      <c r="AF3826" s="52">
        <f t="shared" si="303"/>
        <v>0.15215599159451279</v>
      </c>
    </row>
    <row r="3827" spans="30:32">
      <c r="AD3827" s="50">
        <v>297.8</v>
      </c>
      <c r="AE3827" s="51">
        <v>70.254999999999995</v>
      </c>
      <c r="AF3827" s="52">
        <f t="shared" si="303"/>
        <v>0.15332276188357169</v>
      </c>
    </row>
    <row r="3828" spans="30:32">
      <c r="AD3828" s="50">
        <v>297.7</v>
      </c>
      <c r="AE3828" s="51">
        <v>70.05</v>
      </c>
      <c r="AF3828" s="52">
        <f t="shared" si="303"/>
        <v>0.15459186037820657</v>
      </c>
    </row>
    <row r="3829" spans="30:32">
      <c r="AD3829" s="50">
        <v>297.60000000000002</v>
      </c>
      <c r="AE3829" s="51">
        <v>69.826999999999998</v>
      </c>
      <c r="AF3829" s="52">
        <f t="shared" si="303"/>
        <v>0.15597661629255663</v>
      </c>
    </row>
    <row r="3830" spans="30:32">
      <c r="AD3830" s="50">
        <v>297.5</v>
      </c>
      <c r="AE3830" s="51">
        <v>69.599999999999994</v>
      </c>
      <c r="AF3830" s="52">
        <f t="shared" si="303"/>
        <v>0.15739076038943792</v>
      </c>
    </row>
    <row r="3831" spans="30:32">
      <c r="AD3831" s="50">
        <v>297.39999999999998</v>
      </c>
      <c r="AE3831" s="51">
        <v>69.430999999999997</v>
      </c>
      <c r="AF3831" s="52">
        <f t="shared" si="303"/>
        <v>0.1584465796468838</v>
      </c>
    </row>
    <row r="3832" spans="30:32">
      <c r="AD3832" s="50">
        <v>297.3</v>
      </c>
      <c r="AE3832" s="51">
        <v>69.274000000000001</v>
      </c>
      <c r="AF3832" s="52">
        <f t="shared" si="303"/>
        <v>0.15942973472821353</v>
      </c>
    </row>
    <row r="3833" spans="30:32">
      <c r="AD3833" s="50">
        <v>297.2</v>
      </c>
      <c r="AE3833" s="51">
        <v>69.156999999999996</v>
      </c>
      <c r="AF3833" s="52">
        <f t="shared" si="303"/>
        <v>0.16016385449158749</v>
      </c>
    </row>
    <row r="3834" spans="30:32">
      <c r="AD3834" s="50">
        <v>297.10000000000002</v>
      </c>
      <c r="AE3834" s="51">
        <v>69.024000000000001</v>
      </c>
      <c r="AF3834" s="52">
        <f t="shared" si="303"/>
        <v>0.16099987657754899</v>
      </c>
    </row>
    <row r="3835" spans="30:32">
      <c r="AD3835" s="50">
        <v>297</v>
      </c>
      <c r="AE3835" s="51">
        <v>68.84</v>
      </c>
      <c r="AF3835" s="52">
        <f t="shared" si="303"/>
        <v>0.16215913834447734</v>
      </c>
    </row>
    <row r="3836" spans="30:32">
      <c r="AD3836" s="50">
        <v>296.89999999999998</v>
      </c>
      <c r="AE3836" s="51">
        <v>68.656000000000006</v>
      </c>
      <c r="AF3836" s="52">
        <f t="shared" si="303"/>
        <v>0.16332150281140331</v>
      </c>
    </row>
    <row r="3837" spans="30:32">
      <c r="AD3837" s="50">
        <v>296.8</v>
      </c>
      <c r="AE3837" s="51">
        <v>68.441000000000003</v>
      </c>
      <c r="AF3837" s="52">
        <f t="shared" si="303"/>
        <v>0.16468365355365613</v>
      </c>
    </row>
    <row r="3838" spans="30:32">
      <c r="AD3838" s="50">
        <v>296.7</v>
      </c>
      <c r="AE3838" s="51">
        <v>68.236000000000004</v>
      </c>
      <c r="AF3838" s="52">
        <f t="shared" si="303"/>
        <v>0.16598643947305641</v>
      </c>
    </row>
    <row r="3839" spans="30:32">
      <c r="AD3839" s="50">
        <v>296.60000000000002</v>
      </c>
      <c r="AE3839" s="51">
        <v>67.986000000000004</v>
      </c>
      <c r="AF3839" s="52">
        <f t="shared" si="303"/>
        <v>0.16758051006916888</v>
      </c>
    </row>
    <row r="3840" spans="30:32">
      <c r="AD3840" s="50">
        <v>296.5</v>
      </c>
      <c r="AE3840" s="51">
        <v>67.796000000000006</v>
      </c>
      <c r="AF3840" s="52">
        <f t="shared" si="303"/>
        <v>0.16879592898210788</v>
      </c>
    </row>
    <row r="3841" spans="30:32">
      <c r="AD3841" s="50">
        <v>296.39999999999998</v>
      </c>
      <c r="AE3841" s="51">
        <v>67.712000000000003</v>
      </c>
      <c r="AF3841" s="52">
        <f t="shared" si="303"/>
        <v>0.16933435831694585</v>
      </c>
    </row>
    <row r="3842" spans="30:32">
      <c r="AD3842" s="50">
        <v>296.3</v>
      </c>
      <c r="AE3842" s="51">
        <v>67.453999999999994</v>
      </c>
      <c r="AF3842" s="52">
        <f t="shared" si="303"/>
        <v>0.17099229170861435</v>
      </c>
    </row>
    <row r="3843" spans="30:32">
      <c r="AD3843" s="50">
        <v>296.2</v>
      </c>
      <c r="AE3843" s="51">
        <v>67.271000000000001</v>
      </c>
      <c r="AF3843" s="52">
        <f t="shared" si="303"/>
        <v>0.17217211637466859</v>
      </c>
    </row>
    <row r="3844" spans="30:32">
      <c r="AD3844" s="50">
        <v>296.10000000000002</v>
      </c>
      <c r="AE3844" s="51">
        <v>67.040999999999997</v>
      </c>
      <c r="AF3844" s="52">
        <f t="shared" si="303"/>
        <v>0.17365951628644841</v>
      </c>
    </row>
    <row r="3845" spans="30:32">
      <c r="AD3845" s="50">
        <v>296</v>
      </c>
      <c r="AE3845" s="51">
        <v>66.953999999999994</v>
      </c>
      <c r="AF3845" s="52">
        <f t="shared" ref="AF3845:AF3908" si="304">-LOG(AE3845/100)</f>
        <v>0.17422347203457281</v>
      </c>
    </row>
    <row r="3846" spans="30:32">
      <c r="AD3846" s="50">
        <v>295.89999999999998</v>
      </c>
      <c r="AE3846" s="51">
        <v>66.89</v>
      </c>
      <c r="AF3846" s="52">
        <f t="shared" si="304"/>
        <v>0.17463880404736662</v>
      </c>
    </row>
    <row r="3847" spans="30:32">
      <c r="AD3847" s="50">
        <v>295.8</v>
      </c>
      <c r="AE3847" s="51">
        <v>66.63</v>
      </c>
      <c r="AF3847" s="52">
        <f t="shared" si="304"/>
        <v>0.1763301867318636</v>
      </c>
    </row>
    <row r="3848" spans="30:32">
      <c r="AD3848" s="50">
        <v>295.7</v>
      </c>
      <c r="AE3848" s="51">
        <v>66.406000000000006</v>
      </c>
      <c r="AF3848" s="52">
        <f t="shared" si="304"/>
        <v>0.17779267892764392</v>
      </c>
    </row>
    <row r="3849" spans="30:32">
      <c r="AD3849" s="50">
        <v>295.60000000000002</v>
      </c>
      <c r="AE3849" s="51">
        <v>66.055999999999997</v>
      </c>
      <c r="AF3849" s="52">
        <f t="shared" si="304"/>
        <v>0.18008772841214443</v>
      </c>
    </row>
    <row r="3850" spans="30:32">
      <c r="AD3850" s="50">
        <v>295.5</v>
      </c>
      <c r="AE3850" s="51">
        <v>65.837000000000003</v>
      </c>
      <c r="AF3850" s="52">
        <f t="shared" si="304"/>
        <v>0.18152996687734121</v>
      </c>
    </row>
    <row r="3851" spans="30:32">
      <c r="AD3851" s="50">
        <v>295.39999999999998</v>
      </c>
      <c r="AE3851" s="51">
        <v>65.692999999999998</v>
      </c>
      <c r="AF3851" s="52">
        <f t="shared" si="304"/>
        <v>0.18248090476801748</v>
      </c>
    </row>
    <row r="3852" spans="30:32">
      <c r="AD3852" s="50">
        <v>295.3</v>
      </c>
      <c r="AE3852" s="51">
        <v>65.539000000000001</v>
      </c>
      <c r="AF3852" s="52">
        <f t="shared" si="304"/>
        <v>0.18350018940764265</v>
      </c>
    </row>
    <row r="3853" spans="30:32">
      <c r="AD3853" s="50">
        <v>295.2</v>
      </c>
      <c r="AE3853" s="51">
        <v>65.25</v>
      </c>
      <c r="AF3853" s="52">
        <f t="shared" si="304"/>
        <v>0.18541948398968144</v>
      </c>
    </row>
    <row r="3854" spans="30:32">
      <c r="AD3854" s="50">
        <v>295.10000000000002</v>
      </c>
      <c r="AE3854" s="51">
        <v>65.034999999999997</v>
      </c>
      <c r="AF3854" s="52">
        <f t="shared" si="304"/>
        <v>0.18685285541953253</v>
      </c>
    </row>
    <row r="3855" spans="30:32">
      <c r="AD3855" s="50">
        <v>295</v>
      </c>
      <c r="AE3855" s="51">
        <v>64.84</v>
      </c>
      <c r="AF3855" s="52">
        <f t="shared" si="304"/>
        <v>0.18815699382352261</v>
      </c>
    </row>
    <row r="3856" spans="30:32">
      <c r="AD3856" s="50">
        <v>294.89999999999998</v>
      </c>
      <c r="AE3856" s="51">
        <v>64.641999999999996</v>
      </c>
      <c r="AF3856" s="52">
        <f t="shared" si="304"/>
        <v>0.18948521511207864</v>
      </c>
    </row>
    <row r="3857" spans="30:34">
      <c r="AD3857" s="50">
        <v>294.8</v>
      </c>
      <c r="AE3857" s="51">
        <v>64.534000000000006</v>
      </c>
      <c r="AF3857" s="52">
        <f t="shared" si="304"/>
        <v>0.19021141525721874</v>
      </c>
    </row>
    <row r="3858" spans="30:34">
      <c r="AD3858" s="50">
        <v>294.7</v>
      </c>
      <c r="AE3858" s="51">
        <v>64.278000000000006</v>
      </c>
      <c r="AF3858" s="52">
        <f t="shared" si="304"/>
        <v>0.19193764470391197</v>
      </c>
    </row>
    <row r="3859" spans="30:34">
      <c r="AD3859" s="50">
        <v>294.60000000000002</v>
      </c>
      <c r="AE3859" s="51">
        <v>64.087000000000003</v>
      </c>
      <c r="AF3859" s="52">
        <f t="shared" si="304"/>
        <v>0.19323005785796954</v>
      </c>
    </row>
    <row r="3860" spans="30:34">
      <c r="AD3860" s="50">
        <v>294.5</v>
      </c>
      <c r="AE3860" s="51">
        <v>63.862000000000002</v>
      </c>
      <c r="AF3860" s="52">
        <f t="shared" si="304"/>
        <v>0.19475748455381423</v>
      </c>
    </row>
    <row r="3861" spans="30:34">
      <c r="AD3861" s="50">
        <v>294.39999999999998</v>
      </c>
      <c r="AE3861" s="51">
        <v>63.58</v>
      </c>
      <c r="AF3861" s="52">
        <f t="shared" si="304"/>
        <v>0.19667947642124589</v>
      </c>
    </row>
    <row r="3862" spans="30:34">
      <c r="AD3862" s="50">
        <v>294.3</v>
      </c>
      <c r="AE3862" s="51">
        <v>63.350999999999999</v>
      </c>
      <c r="AF3862" s="52">
        <f t="shared" si="304"/>
        <v>0.19824652535742696</v>
      </c>
    </row>
    <row r="3863" spans="30:34">
      <c r="AD3863" s="50">
        <v>294.2</v>
      </c>
      <c r="AE3863" s="51">
        <v>63.098999999999997</v>
      </c>
      <c r="AF3863" s="52">
        <f t="shared" si="304"/>
        <v>0.19997752344878583</v>
      </c>
    </row>
    <row r="3864" spans="30:34">
      <c r="AD3864" s="50">
        <v>294.10000000000002</v>
      </c>
      <c r="AE3864" s="51">
        <v>62.936999999999998</v>
      </c>
      <c r="AF3864" s="52">
        <f t="shared" si="304"/>
        <v>0.201093962320436</v>
      </c>
    </row>
    <row r="3865" spans="30:34">
      <c r="AD3865" s="50">
        <v>294</v>
      </c>
      <c r="AE3865" s="51">
        <v>62.850999999999999</v>
      </c>
      <c r="AF3865" s="52">
        <f t="shared" si="304"/>
        <v>0.20168780801737218</v>
      </c>
    </row>
    <row r="3866" spans="30:34">
      <c r="AD3866" s="50">
        <v>293.89999999999998</v>
      </c>
      <c r="AE3866" s="51">
        <v>62.728000000000002</v>
      </c>
      <c r="AF3866" s="52">
        <f t="shared" si="304"/>
        <v>0.20253855915181868</v>
      </c>
    </row>
    <row r="3867" spans="30:34">
      <c r="AD3867" s="50">
        <v>293.8</v>
      </c>
      <c r="AE3867" s="51">
        <v>62.606000000000002</v>
      </c>
      <c r="AF3867" s="52">
        <f t="shared" si="304"/>
        <v>0.2033840431150912</v>
      </c>
    </row>
    <row r="3868" spans="30:34">
      <c r="AD3868" s="50">
        <v>293.7</v>
      </c>
      <c r="AE3868" s="51">
        <v>62.5</v>
      </c>
      <c r="AF3868" s="52">
        <f t="shared" si="304"/>
        <v>0.20411998265592479</v>
      </c>
    </row>
    <row r="3869" spans="30:34">
      <c r="AD3869" s="50">
        <v>293.60000000000002</v>
      </c>
      <c r="AE3869" s="51">
        <v>62.3</v>
      </c>
      <c r="AF3869" s="52">
        <f t="shared" si="304"/>
        <v>0.20551195334083039</v>
      </c>
    </row>
    <row r="3870" spans="30:34">
      <c r="AD3870" s="50">
        <v>293.5</v>
      </c>
      <c r="AE3870" s="51">
        <v>62.167000000000002</v>
      </c>
      <c r="AF3870" s="52">
        <f t="shared" si="304"/>
        <v>0.20644008992445959</v>
      </c>
      <c r="AG3870">
        <f>LARGE(AF3870:AF3990,4)</f>
        <v>0.44457904602500015</v>
      </c>
      <c r="AH3870" t="s">
        <v>346</v>
      </c>
    </row>
    <row r="3871" spans="30:34">
      <c r="AD3871" s="50">
        <v>293.39999999999998</v>
      </c>
      <c r="AE3871" s="51">
        <v>61.945999999999998</v>
      </c>
      <c r="AF3871" s="52">
        <f t="shared" si="304"/>
        <v>0.20798673180629146</v>
      </c>
      <c r="AG3871">
        <f>SMALL(AF3870:AF3990,4)</f>
        <v>0.20896233576531745</v>
      </c>
      <c r="AH3871" t="s">
        <v>347</v>
      </c>
    </row>
    <row r="3872" spans="30:34">
      <c r="AD3872" s="50">
        <v>293.3</v>
      </c>
      <c r="AE3872" s="51">
        <v>61.843000000000004</v>
      </c>
      <c r="AF3872" s="52">
        <f t="shared" si="304"/>
        <v>0.20870945098100246</v>
      </c>
    </row>
    <row r="3873" spans="30:32">
      <c r="AD3873" s="50">
        <v>293.2</v>
      </c>
      <c r="AE3873" s="51">
        <v>61.807000000000002</v>
      </c>
      <c r="AF3873" s="52">
        <f t="shared" si="304"/>
        <v>0.20896233576531745</v>
      </c>
    </row>
    <row r="3874" spans="30:32">
      <c r="AD3874" s="50">
        <v>293.10000000000002</v>
      </c>
      <c r="AE3874" s="51">
        <v>61.765999999999998</v>
      </c>
      <c r="AF3874" s="52">
        <f t="shared" si="304"/>
        <v>0.2092505229002323</v>
      </c>
    </row>
    <row r="3875" spans="30:32">
      <c r="AD3875" s="50">
        <v>293</v>
      </c>
      <c r="AE3875" s="51">
        <v>61.578000000000003</v>
      </c>
      <c r="AF3875" s="52">
        <f t="shared" si="304"/>
        <v>0.21057442071163138</v>
      </c>
    </row>
    <row r="3876" spans="30:32">
      <c r="AD3876" s="50">
        <v>292.89999999999998</v>
      </c>
      <c r="AE3876" s="51">
        <v>61.42</v>
      </c>
      <c r="AF3876" s="52">
        <f t="shared" si="304"/>
        <v>0.21169018789294994</v>
      </c>
    </row>
    <row r="3877" spans="30:32">
      <c r="AD3877" s="50">
        <v>292.8</v>
      </c>
      <c r="AE3877" s="51">
        <v>61.35</v>
      </c>
      <c r="AF3877" s="52">
        <f t="shared" si="304"/>
        <v>0.21218543293697692</v>
      </c>
    </row>
    <row r="3878" spans="30:32">
      <c r="AD3878" s="50">
        <v>292.7</v>
      </c>
      <c r="AE3878" s="51">
        <v>61.371000000000002</v>
      </c>
      <c r="AF3878" s="52">
        <f t="shared" si="304"/>
        <v>0.2120368001160419</v>
      </c>
    </row>
    <row r="3879" spans="30:32">
      <c r="AD3879" s="50">
        <v>292.60000000000002</v>
      </c>
      <c r="AE3879" s="51">
        <v>61.423999999999999</v>
      </c>
      <c r="AF3879" s="52">
        <f t="shared" si="304"/>
        <v>0.21166190522667028</v>
      </c>
    </row>
    <row r="3880" spans="30:32">
      <c r="AD3880" s="50">
        <v>292.5</v>
      </c>
      <c r="AE3880" s="51">
        <v>61.237000000000002</v>
      </c>
      <c r="AF3880" s="52">
        <f t="shared" si="304"/>
        <v>0.21298609353483655</v>
      </c>
    </row>
    <row r="3881" spans="30:32">
      <c r="AD3881" s="50">
        <v>292.39999999999998</v>
      </c>
      <c r="AE3881" s="51">
        <v>60.994999999999997</v>
      </c>
      <c r="AF3881" s="52">
        <f t="shared" si="304"/>
        <v>0.21470576435659611</v>
      </c>
    </row>
    <row r="3882" spans="30:32">
      <c r="AD3882" s="50">
        <v>292.3</v>
      </c>
      <c r="AE3882" s="51">
        <v>60.771999999999998</v>
      </c>
      <c r="AF3882" s="52">
        <f t="shared" si="304"/>
        <v>0.2162964708326891</v>
      </c>
    </row>
    <row r="3883" spans="30:32">
      <c r="AD3883" s="50">
        <v>292.2</v>
      </c>
      <c r="AE3883" s="51">
        <v>60.567</v>
      </c>
      <c r="AF3883" s="52">
        <f t="shared" si="304"/>
        <v>0.21776393724494225</v>
      </c>
    </row>
    <row r="3884" spans="30:32">
      <c r="AD3884" s="50">
        <v>292.10000000000002</v>
      </c>
      <c r="AE3884" s="51">
        <v>60.433</v>
      </c>
      <c r="AF3884" s="52">
        <f t="shared" si="304"/>
        <v>0.21872584607743356</v>
      </c>
    </row>
    <row r="3885" spans="30:32">
      <c r="AD3885" s="50">
        <v>292</v>
      </c>
      <c r="AE3885" s="51">
        <v>60.156999999999996</v>
      </c>
      <c r="AF3885" s="52">
        <f t="shared" si="304"/>
        <v>0.2207138299285859</v>
      </c>
    </row>
    <row r="3886" spans="30:32">
      <c r="AD3886" s="50">
        <v>291.89999999999998</v>
      </c>
      <c r="AE3886" s="51">
        <v>59.853000000000002</v>
      </c>
      <c r="AF3886" s="52">
        <f t="shared" si="304"/>
        <v>0.22291407665618237</v>
      </c>
    </row>
    <row r="3887" spans="30:32">
      <c r="AD3887" s="50">
        <v>291.8</v>
      </c>
      <c r="AE3887" s="51">
        <v>59.42</v>
      </c>
      <c r="AF3887" s="52">
        <f t="shared" si="304"/>
        <v>0.22606735253235472</v>
      </c>
    </row>
    <row r="3888" spans="30:32">
      <c r="AD3888" s="50">
        <v>291.7</v>
      </c>
      <c r="AE3888" s="51">
        <v>59.055</v>
      </c>
      <c r="AF3888" s="52">
        <f t="shared" si="304"/>
        <v>0.22874332615408921</v>
      </c>
    </row>
    <row r="3889" spans="30:32">
      <c r="AD3889" s="50">
        <v>291.60000000000002</v>
      </c>
      <c r="AE3889" s="51">
        <v>58.454000000000001</v>
      </c>
      <c r="AF3889" s="52">
        <f t="shared" si="304"/>
        <v>0.23318576476751621</v>
      </c>
    </row>
    <row r="3890" spans="30:32">
      <c r="AD3890" s="50">
        <v>291.5</v>
      </c>
      <c r="AE3890" s="51">
        <v>57.826999999999998</v>
      </c>
      <c r="AF3890" s="52">
        <f t="shared" si="304"/>
        <v>0.23786933782334976</v>
      </c>
    </row>
    <row r="3891" spans="30:32">
      <c r="AD3891" s="50">
        <v>291.39999999999998</v>
      </c>
      <c r="AE3891" s="51">
        <v>57.043999999999997</v>
      </c>
      <c r="AF3891" s="52">
        <f t="shared" si="304"/>
        <v>0.24379002879048975</v>
      </c>
    </row>
    <row r="3892" spans="30:32">
      <c r="AD3892" s="50">
        <v>291.3</v>
      </c>
      <c r="AE3892" s="51">
        <v>56.271999999999998</v>
      </c>
      <c r="AF3892" s="52">
        <f t="shared" si="304"/>
        <v>0.24970764902713263</v>
      </c>
    </row>
    <row r="3893" spans="30:32">
      <c r="AD3893" s="50">
        <v>291.2</v>
      </c>
      <c r="AE3893" s="51">
        <v>55.276000000000003</v>
      </c>
      <c r="AF3893" s="52">
        <f t="shared" si="304"/>
        <v>0.25746339184190409</v>
      </c>
    </row>
    <row r="3894" spans="30:32">
      <c r="AD3894" s="50">
        <v>291.10000000000002</v>
      </c>
      <c r="AE3894" s="51">
        <v>54.29</v>
      </c>
      <c r="AF3894" s="52">
        <f t="shared" si="304"/>
        <v>0.26528015834432023</v>
      </c>
    </row>
    <row r="3895" spans="30:32">
      <c r="AD3895" s="50">
        <v>291</v>
      </c>
      <c r="AE3895" s="51">
        <v>53.277000000000001</v>
      </c>
      <c r="AF3895" s="52">
        <f t="shared" si="304"/>
        <v>0.27346023804435005</v>
      </c>
    </row>
    <row r="3896" spans="30:32">
      <c r="AD3896" s="50">
        <v>290.89999999999998</v>
      </c>
      <c r="AE3896" s="51">
        <v>52.356000000000002</v>
      </c>
      <c r="AF3896" s="52">
        <f t="shared" si="304"/>
        <v>0.281033540965555</v>
      </c>
    </row>
    <row r="3897" spans="30:32">
      <c r="AD3897" s="50">
        <v>290.8</v>
      </c>
      <c r="AE3897" s="51">
        <v>51.448999999999998</v>
      </c>
      <c r="AF3897" s="52">
        <f t="shared" si="304"/>
        <v>0.28862306208138316</v>
      </c>
    </row>
    <row r="3898" spans="30:32">
      <c r="AD3898" s="50">
        <v>290.7</v>
      </c>
      <c r="AE3898" s="51">
        <v>50.618000000000002</v>
      </c>
      <c r="AF3898" s="52">
        <f t="shared" si="304"/>
        <v>0.29569501852433239</v>
      </c>
    </row>
    <row r="3899" spans="30:32">
      <c r="AD3899" s="50">
        <v>290.60000000000002</v>
      </c>
      <c r="AE3899" s="51">
        <v>49.868000000000002</v>
      </c>
      <c r="AF3899" s="52">
        <f t="shared" si="304"/>
        <v>0.30217804919453722</v>
      </c>
    </row>
    <row r="3900" spans="30:32">
      <c r="AD3900" s="50">
        <v>290.5</v>
      </c>
      <c r="AE3900" s="51">
        <v>49.283999999999999</v>
      </c>
      <c r="AF3900" s="52">
        <f t="shared" si="304"/>
        <v>0.30729405109872276</v>
      </c>
    </row>
    <row r="3901" spans="30:32">
      <c r="AD3901" s="50">
        <v>290.39999999999998</v>
      </c>
      <c r="AE3901" s="51">
        <v>48.753999999999998</v>
      </c>
      <c r="AF3901" s="52">
        <f t="shared" si="304"/>
        <v>0.31198974700826138</v>
      </c>
    </row>
    <row r="3902" spans="30:32">
      <c r="AD3902" s="50">
        <v>290.3</v>
      </c>
      <c r="AE3902" s="51">
        <v>48.338000000000001</v>
      </c>
      <c r="AF3902" s="52">
        <f t="shared" si="304"/>
        <v>0.31571132262784357</v>
      </c>
    </row>
    <row r="3903" spans="30:32">
      <c r="AD3903" s="50">
        <v>290.2</v>
      </c>
      <c r="AE3903" s="51">
        <v>48.024000000000001</v>
      </c>
      <c r="AF3903" s="52">
        <f t="shared" si="304"/>
        <v>0.31854166965218256</v>
      </c>
    </row>
    <row r="3904" spans="30:32">
      <c r="AD3904" s="50">
        <v>290.10000000000002</v>
      </c>
      <c r="AE3904" s="51">
        <v>47.93</v>
      </c>
      <c r="AF3904" s="52">
        <f t="shared" si="304"/>
        <v>0.31939257100821211</v>
      </c>
    </row>
    <row r="3905" spans="30:32">
      <c r="AD3905" s="50">
        <v>290</v>
      </c>
      <c r="AE3905" s="51">
        <v>48.045000000000002</v>
      </c>
      <c r="AF3905" s="52">
        <f t="shared" si="304"/>
        <v>0.31835180228049698</v>
      </c>
    </row>
    <row r="3906" spans="30:32">
      <c r="AD3906" s="50">
        <v>289.89999999999998</v>
      </c>
      <c r="AE3906" s="51">
        <v>48.253</v>
      </c>
      <c r="AF3906" s="52">
        <f t="shared" si="304"/>
        <v>0.31647568039390384</v>
      </c>
    </row>
    <row r="3907" spans="30:32">
      <c r="AD3907" s="50">
        <v>289.8</v>
      </c>
      <c r="AE3907" s="51">
        <v>48.427</v>
      </c>
      <c r="AF3907" s="52">
        <f t="shared" si="304"/>
        <v>0.31491243419114356</v>
      </c>
    </row>
    <row r="3908" spans="30:32">
      <c r="AD3908" s="50">
        <v>289.7</v>
      </c>
      <c r="AE3908" s="51">
        <v>48.656999999999996</v>
      </c>
      <c r="AF3908" s="52">
        <f t="shared" si="304"/>
        <v>0.31285467147610518</v>
      </c>
    </row>
    <row r="3909" spans="30:32">
      <c r="AD3909" s="50">
        <v>289.60000000000002</v>
      </c>
      <c r="AE3909" s="51">
        <v>49.005000000000003</v>
      </c>
      <c r="AF3909" s="52">
        <f t="shared" ref="AF3909:AF3972" si="305">-LOG(AE3909/100)</f>
        <v>0.30975960646888134</v>
      </c>
    </row>
    <row r="3910" spans="30:32">
      <c r="AD3910" s="50">
        <v>289.5</v>
      </c>
      <c r="AE3910" s="51">
        <v>49.405999999999999</v>
      </c>
      <c r="AF3910" s="52">
        <f t="shared" si="305"/>
        <v>0.30622030596179278</v>
      </c>
    </row>
    <row r="3911" spans="30:32">
      <c r="AD3911" s="50">
        <v>289.39999999999998</v>
      </c>
      <c r="AE3911" s="51">
        <v>49.790999999999997</v>
      </c>
      <c r="AF3911" s="52">
        <f t="shared" si="305"/>
        <v>0.30284915128789264</v>
      </c>
    </row>
    <row r="3912" spans="30:32">
      <c r="AD3912" s="50">
        <v>289.3</v>
      </c>
      <c r="AE3912" s="51">
        <v>50.01</v>
      </c>
      <c r="AF3912" s="52">
        <f t="shared" si="305"/>
        <v>0.30094314545233225</v>
      </c>
    </row>
    <row r="3913" spans="30:32">
      <c r="AD3913" s="50">
        <v>289.2</v>
      </c>
      <c r="AE3913" s="51">
        <v>49.994999999999997</v>
      </c>
      <c r="AF3913" s="52">
        <f t="shared" si="305"/>
        <v>0.30107342728378877</v>
      </c>
    </row>
    <row r="3914" spans="30:32">
      <c r="AD3914" s="50">
        <v>289.10000000000002</v>
      </c>
      <c r="AE3914" s="51">
        <v>49.871000000000002</v>
      </c>
      <c r="AF3914" s="52">
        <f t="shared" si="305"/>
        <v>0.30215192333712731</v>
      </c>
    </row>
    <row r="3915" spans="30:32">
      <c r="AD3915" s="50">
        <v>289</v>
      </c>
      <c r="AE3915" s="51">
        <v>49.652000000000001</v>
      </c>
      <c r="AF3915" s="52">
        <f t="shared" si="305"/>
        <v>0.30406325328199302</v>
      </c>
    </row>
    <row r="3916" spans="30:32">
      <c r="AD3916" s="50">
        <v>288.89999999999998</v>
      </c>
      <c r="AE3916" s="51">
        <v>49.222000000000001</v>
      </c>
      <c r="AF3916" s="52">
        <f t="shared" si="305"/>
        <v>0.3078407439181165</v>
      </c>
    </row>
    <row r="3917" spans="30:32">
      <c r="AD3917" s="50">
        <v>288.8</v>
      </c>
      <c r="AE3917" s="51">
        <v>48.548000000000002</v>
      </c>
      <c r="AF3917" s="52">
        <f t="shared" si="305"/>
        <v>0.31382865673136057</v>
      </c>
    </row>
    <row r="3918" spans="30:32">
      <c r="AD3918" s="50">
        <v>288.7</v>
      </c>
      <c r="AE3918" s="51">
        <v>47.673999999999999</v>
      </c>
      <c r="AF3918" s="52">
        <f t="shared" si="305"/>
        <v>0.32171840785797579</v>
      </c>
    </row>
    <row r="3919" spans="30:32">
      <c r="AD3919" s="50">
        <v>288.60000000000002</v>
      </c>
      <c r="AE3919" s="51">
        <v>46.619</v>
      </c>
      <c r="AF3919" s="52">
        <f t="shared" si="305"/>
        <v>0.33143704654130618</v>
      </c>
    </row>
    <row r="3920" spans="30:32">
      <c r="AD3920" s="50">
        <v>288.5</v>
      </c>
      <c r="AE3920" s="51">
        <v>45.334000000000003</v>
      </c>
      <c r="AF3920" s="52">
        <f t="shared" si="305"/>
        <v>0.34357595971284793</v>
      </c>
    </row>
    <row r="3921" spans="30:32">
      <c r="AD3921" s="50">
        <v>288.39999999999998</v>
      </c>
      <c r="AE3921" s="51">
        <v>43.811</v>
      </c>
      <c r="AF3921" s="52">
        <f t="shared" si="305"/>
        <v>0.3584168337991035</v>
      </c>
    </row>
    <row r="3922" spans="30:32">
      <c r="AD3922" s="50">
        <v>288.3</v>
      </c>
      <c r="AE3922" s="51">
        <v>42.390999999999998</v>
      </c>
      <c r="AF3922" s="52">
        <f t="shared" si="305"/>
        <v>0.37272633834191393</v>
      </c>
    </row>
    <row r="3923" spans="30:32">
      <c r="AD3923" s="50">
        <v>288.2</v>
      </c>
      <c r="AE3923" s="51">
        <v>40.865000000000002</v>
      </c>
      <c r="AF3923" s="52">
        <f t="shared" si="305"/>
        <v>0.38864849674518087</v>
      </c>
    </row>
    <row r="3924" spans="30:32">
      <c r="AD3924" s="50">
        <v>288.10000000000002</v>
      </c>
      <c r="AE3924" s="51">
        <v>39.313000000000002</v>
      </c>
      <c r="AF3924" s="52">
        <f t="shared" si="305"/>
        <v>0.40546381362757006</v>
      </c>
    </row>
    <row r="3925" spans="30:32">
      <c r="AD3925" s="50">
        <v>288</v>
      </c>
      <c r="AE3925" s="51">
        <v>37.994</v>
      </c>
      <c r="AF3925" s="52">
        <f t="shared" si="305"/>
        <v>0.42028498161033501</v>
      </c>
    </row>
    <row r="3926" spans="30:32">
      <c r="AD3926" s="50">
        <v>287.89999999999998</v>
      </c>
      <c r="AE3926" s="51">
        <v>36.795000000000002</v>
      </c>
      <c r="AF3926" s="52">
        <f t="shared" si="305"/>
        <v>0.43421119273793307</v>
      </c>
    </row>
    <row r="3927" spans="30:32">
      <c r="AD3927" s="50">
        <v>287.8</v>
      </c>
      <c r="AE3927" s="51">
        <v>35.927</v>
      </c>
      <c r="AF3927" s="52">
        <f t="shared" si="305"/>
        <v>0.44457904602500015</v>
      </c>
    </row>
    <row r="3928" spans="30:32">
      <c r="AD3928" s="50">
        <v>287.7</v>
      </c>
      <c r="AE3928" s="51">
        <v>35.444000000000003</v>
      </c>
      <c r="AF3928" s="52">
        <f t="shared" si="305"/>
        <v>0.45045727211511893</v>
      </c>
    </row>
    <row r="3929" spans="30:32">
      <c r="AD3929" s="50">
        <v>287.60000000000002</v>
      </c>
      <c r="AE3929" s="51">
        <v>35.322000000000003</v>
      </c>
      <c r="AF3929" s="52">
        <f t="shared" si="305"/>
        <v>0.45195471380418734</v>
      </c>
    </row>
    <row r="3930" spans="30:32">
      <c r="AD3930" s="50">
        <v>287.5</v>
      </c>
      <c r="AE3930" s="51">
        <v>35.685000000000002</v>
      </c>
      <c r="AF3930" s="52">
        <f t="shared" si="305"/>
        <v>0.44751429890705252</v>
      </c>
    </row>
    <row r="3931" spans="30:32">
      <c r="AD3931" s="50">
        <v>287.39999999999998</v>
      </c>
      <c r="AE3931" s="51">
        <v>36.445</v>
      </c>
      <c r="AF3931" s="52">
        <f t="shared" si="305"/>
        <v>0.43836204543539325</v>
      </c>
    </row>
    <row r="3932" spans="30:32">
      <c r="AD3932" s="50">
        <v>287.3</v>
      </c>
      <c r="AE3932" s="51">
        <v>37.631999999999998</v>
      </c>
      <c r="AF3932" s="52">
        <f t="shared" si="305"/>
        <v>0.42444269993997435</v>
      </c>
    </row>
    <row r="3933" spans="30:32">
      <c r="AD3933" s="50">
        <v>287.2</v>
      </c>
      <c r="AE3933" s="51">
        <v>39.133000000000003</v>
      </c>
      <c r="AF3933" s="52">
        <f t="shared" si="305"/>
        <v>0.40745685709538831</v>
      </c>
    </row>
    <row r="3934" spans="30:32">
      <c r="AD3934" s="50">
        <v>287.10000000000002</v>
      </c>
      <c r="AE3934" s="51">
        <v>40.911000000000001</v>
      </c>
      <c r="AF3934" s="52">
        <f t="shared" si="305"/>
        <v>0.38815990477994289</v>
      </c>
    </row>
    <row r="3935" spans="30:32">
      <c r="AD3935" s="50">
        <v>287</v>
      </c>
      <c r="AE3935" s="51">
        <v>42.898000000000003</v>
      </c>
      <c r="AF3935" s="52">
        <f t="shared" si="305"/>
        <v>0.3675629551162376</v>
      </c>
    </row>
    <row r="3936" spans="30:32">
      <c r="AD3936" s="50">
        <v>286.89999999999998</v>
      </c>
      <c r="AE3936" s="51">
        <v>45.012</v>
      </c>
      <c r="AF3936" s="52">
        <f t="shared" si="305"/>
        <v>0.34667168980165242</v>
      </c>
    </row>
    <row r="3937" spans="30:34">
      <c r="AD3937" s="50">
        <v>286.8</v>
      </c>
      <c r="AE3937" s="51">
        <v>47.015000000000001</v>
      </c>
      <c r="AF3937" s="52">
        <f t="shared" si="305"/>
        <v>0.32776355955545255</v>
      </c>
    </row>
    <row r="3938" spans="30:34">
      <c r="AD3938" s="50">
        <v>286.7</v>
      </c>
      <c r="AE3938" s="51">
        <v>49.174999999999997</v>
      </c>
      <c r="AF3938" s="52">
        <f t="shared" si="305"/>
        <v>0.30825563140862572</v>
      </c>
    </row>
    <row r="3939" spans="30:34">
      <c r="AD3939" s="50">
        <v>286.60000000000002</v>
      </c>
      <c r="AE3939" s="51">
        <v>51.079000000000001</v>
      </c>
      <c r="AF3939" s="52">
        <f t="shared" si="305"/>
        <v>0.29175761373307574</v>
      </c>
    </row>
    <row r="3940" spans="30:34">
      <c r="AD3940" s="50">
        <v>286.5</v>
      </c>
      <c r="AE3940" s="51">
        <v>52.805</v>
      </c>
      <c r="AF3940" s="52">
        <f t="shared" si="305"/>
        <v>0.27732495304194382</v>
      </c>
    </row>
    <row r="3941" spans="30:34">
      <c r="AD3941" s="50">
        <v>286.39999999999998</v>
      </c>
      <c r="AE3941" s="51">
        <v>54.383000000000003</v>
      </c>
      <c r="AF3941" s="52">
        <f t="shared" si="305"/>
        <v>0.264536838537619</v>
      </c>
    </row>
    <row r="3942" spans="30:34">
      <c r="AD3942" s="50">
        <v>286.3</v>
      </c>
      <c r="AE3942" s="51">
        <v>55.831000000000003</v>
      </c>
      <c r="AF3942" s="52">
        <f t="shared" si="305"/>
        <v>0.25312459334619392</v>
      </c>
    </row>
    <row r="3943" spans="30:34">
      <c r="AD3943" s="50">
        <v>286.2</v>
      </c>
      <c r="AE3943" s="51">
        <v>57.134</v>
      </c>
      <c r="AF3943" s="52">
        <f t="shared" si="305"/>
        <v>0.2431053695484911</v>
      </c>
    </row>
    <row r="3944" spans="30:34">
      <c r="AD3944" s="50">
        <v>286.10000000000002</v>
      </c>
      <c r="AE3944" s="51">
        <v>58.098999999999997</v>
      </c>
      <c r="AF3944" s="52">
        <f t="shared" si="305"/>
        <v>0.23583134262205172</v>
      </c>
    </row>
    <row r="3945" spans="30:34">
      <c r="AD3945" s="50">
        <v>286</v>
      </c>
      <c r="AE3945" s="51">
        <v>58.795999999999999</v>
      </c>
      <c r="AF3945" s="52">
        <f t="shared" si="305"/>
        <v>0.230652218771106</v>
      </c>
    </row>
    <row r="3946" spans="30:34">
      <c r="AD3946" s="50">
        <v>285.89999999999998</v>
      </c>
      <c r="AE3946" s="51">
        <v>59.343000000000004</v>
      </c>
      <c r="AF3946" s="52">
        <f t="shared" si="305"/>
        <v>0.22663050233140386</v>
      </c>
    </row>
    <row r="3947" spans="30:34">
      <c r="AD3947" s="50">
        <v>285.8</v>
      </c>
      <c r="AE3947" s="51">
        <v>59.673999999999999</v>
      </c>
      <c r="AF3947" s="52">
        <f t="shared" si="305"/>
        <v>0.22421485004422037</v>
      </c>
    </row>
    <row r="3948" spans="30:34">
      <c r="AD3948" s="50">
        <v>285.7</v>
      </c>
      <c r="AE3948" s="51">
        <v>60.103999999999999</v>
      </c>
      <c r="AF3948" s="52">
        <f t="shared" si="305"/>
        <v>0.22109662416829878</v>
      </c>
    </row>
    <row r="3949" spans="30:34">
      <c r="AD3949" s="50">
        <v>285.60000000000002</v>
      </c>
      <c r="AE3949" s="51">
        <v>60.372</v>
      </c>
      <c r="AF3949" s="52">
        <f t="shared" si="305"/>
        <v>0.21916443662662699</v>
      </c>
    </row>
    <row r="3950" spans="30:34">
      <c r="AD3950" s="50">
        <v>285.5</v>
      </c>
      <c r="AE3950" s="51">
        <v>60.688000000000002</v>
      </c>
      <c r="AF3950" s="52">
        <f t="shared" si="305"/>
        <v>0.21689717464128469</v>
      </c>
      <c r="AG3950">
        <f>LARGE(AF3950:AF4070,4)</f>
        <v>0.5132579044660126</v>
      </c>
      <c r="AH3950" t="s">
        <v>346</v>
      </c>
    </row>
    <row r="3951" spans="30:34">
      <c r="AD3951" s="50">
        <v>285.39999999999998</v>
      </c>
      <c r="AE3951" s="51">
        <v>60.790999999999997</v>
      </c>
      <c r="AF3951" s="52">
        <f t="shared" si="305"/>
        <v>0.2161607124979433</v>
      </c>
      <c r="AG3951">
        <f>SMALL(AF3950:AF4070,4)</f>
        <v>0.21344022063841345</v>
      </c>
      <c r="AH3951" t="s">
        <v>347</v>
      </c>
    </row>
    <row r="3952" spans="30:34">
      <c r="AD3952" s="50">
        <v>285.3</v>
      </c>
      <c r="AE3952" s="51">
        <v>60.944000000000003</v>
      </c>
      <c r="AF3952" s="52">
        <f t="shared" si="305"/>
        <v>0.21506904468312901</v>
      </c>
    </row>
    <row r="3953" spans="30:32">
      <c r="AD3953" s="50">
        <v>285.2</v>
      </c>
      <c r="AE3953" s="51">
        <v>61.023000000000003</v>
      </c>
      <c r="AF3953" s="52">
        <f t="shared" si="305"/>
        <v>0.21450644547402564</v>
      </c>
    </row>
    <row r="3954" spans="30:32">
      <c r="AD3954" s="50">
        <v>285.10000000000002</v>
      </c>
      <c r="AE3954" s="51">
        <v>61.12</v>
      </c>
      <c r="AF3954" s="52">
        <f t="shared" si="305"/>
        <v>0.2138166544323665</v>
      </c>
    </row>
    <row r="3955" spans="30:32">
      <c r="AD3955" s="50">
        <v>285</v>
      </c>
      <c r="AE3955" s="51">
        <v>61.295999999999999</v>
      </c>
      <c r="AF3955" s="52">
        <f t="shared" si="305"/>
        <v>0.21256786536099753</v>
      </c>
    </row>
    <row r="3956" spans="30:32">
      <c r="AD3956" s="50">
        <v>284.89999999999998</v>
      </c>
      <c r="AE3956" s="51">
        <v>61.302</v>
      </c>
      <c r="AF3956" s="52">
        <f t="shared" si="305"/>
        <v>0.21252535623534291</v>
      </c>
    </row>
    <row r="3957" spans="30:32">
      <c r="AD3957" s="50">
        <v>284.8</v>
      </c>
      <c r="AE3957" s="51">
        <v>61.292000000000002</v>
      </c>
      <c r="AF3957" s="52">
        <f t="shared" si="305"/>
        <v>0.21259620708984908</v>
      </c>
    </row>
    <row r="3958" spans="30:32">
      <c r="AD3958" s="50">
        <v>284.7</v>
      </c>
      <c r="AE3958" s="51">
        <v>61.173000000000002</v>
      </c>
      <c r="AF3958" s="52">
        <f t="shared" si="305"/>
        <v>0.21344022063841345</v>
      </c>
    </row>
    <row r="3959" spans="30:32">
      <c r="AD3959" s="50">
        <v>284.60000000000002</v>
      </c>
      <c r="AE3959" s="51">
        <v>61.063000000000002</v>
      </c>
      <c r="AF3959" s="52">
        <f t="shared" si="305"/>
        <v>0.21422186280446928</v>
      </c>
    </row>
    <row r="3960" spans="30:32">
      <c r="AD3960" s="50">
        <v>284.5</v>
      </c>
      <c r="AE3960" s="51">
        <v>61.067</v>
      </c>
      <c r="AF3960" s="52">
        <f t="shared" si="305"/>
        <v>0.21419341479123363</v>
      </c>
    </row>
    <row r="3961" spans="30:32">
      <c r="AD3961" s="50">
        <v>284.39999999999998</v>
      </c>
      <c r="AE3961" s="51">
        <v>61.140999999999998</v>
      </c>
      <c r="AF3961" s="52">
        <f t="shared" si="305"/>
        <v>0.21366746238895676</v>
      </c>
    </row>
    <row r="3962" spans="30:32">
      <c r="AD3962" s="50">
        <v>284.3</v>
      </c>
      <c r="AE3962" s="51">
        <v>60.997999999999998</v>
      </c>
      <c r="AF3962" s="52">
        <f t="shared" si="305"/>
        <v>0.21468440438600808</v>
      </c>
    </row>
    <row r="3963" spans="30:32">
      <c r="AD3963" s="50">
        <v>284.2</v>
      </c>
      <c r="AE3963" s="51">
        <v>60.948999999999998</v>
      </c>
      <c r="AF3963" s="52">
        <f t="shared" si="305"/>
        <v>0.21503341552623348</v>
      </c>
    </row>
    <row r="3964" spans="30:32">
      <c r="AD3964" s="50">
        <v>284.10000000000002</v>
      </c>
      <c r="AE3964" s="51">
        <v>60.988999999999997</v>
      </c>
      <c r="AF3964" s="52">
        <f t="shared" si="305"/>
        <v>0.21474848744968245</v>
      </c>
    </row>
    <row r="3965" spans="30:32">
      <c r="AD3965" s="50">
        <v>284</v>
      </c>
      <c r="AE3965" s="51">
        <v>60.978000000000002</v>
      </c>
      <c r="AF3965" s="52">
        <f t="shared" si="305"/>
        <v>0.2148268240376757</v>
      </c>
    </row>
    <row r="3966" spans="30:32">
      <c r="AD3966" s="50">
        <v>283.89999999999998</v>
      </c>
      <c r="AE3966" s="51">
        <v>60.924999999999997</v>
      </c>
      <c r="AF3966" s="52">
        <f t="shared" si="305"/>
        <v>0.2152044621432381</v>
      </c>
    </row>
    <row r="3967" spans="30:32">
      <c r="AD3967" s="50">
        <v>283.8</v>
      </c>
      <c r="AE3967" s="51">
        <v>60.67</v>
      </c>
      <c r="AF3967" s="52">
        <f t="shared" si="305"/>
        <v>0.21702600505595174</v>
      </c>
    </row>
    <row r="3968" spans="30:32">
      <c r="AD3968" s="50">
        <v>283.7</v>
      </c>
      <c r="AE3968" s="51">
        <v>60.545000000000002</v>
      </c>
      <c r="AF3968" s="52">
        <f t="shared" si="305"/>
        <v>0.21792171646924635</v>
      </c>
    </row>
    <row r="3969" spans="30:32">
      <c r="AD3969" s="50">
        <v>283.60000000000002</v>
      </c>
      <c r="AE3969" s="51">
        <v>60.451000000000001</v>
      </c>
      <c r="AF3969" s="52">
        <f t="shared" si="305"/>
        <v>0.21859651050395765</v>
      </c>
    </row>
    <row r="3970" spans="30:32">
      <c r="AD3970" s="50">
        <v>283.5</v>
      </c>
      <c r="AE3970" s="51">
        <v>60.442999999999998</v>
      </c>
      <c r="AF3970" s="52">
        <f t="shared" si="305"/>
        <v>0.21865398822593385</v>
      </c>
    </row>
    <row r="3971" spans="30:32">
      <c r="AD3971" s="50">
        <v>283.39999999999998</v>
      </c>
      <c r="AE3971" s="51">
        <v>60.283999999999999</v>
      </c>
      <c r="AF3971" s="52">
        <f t="shared" si="305"/>
        <v>0.21979793883429355</v>
      </c>
    </row>
    <row r="3972" spans="30:32">
      <c r="AD3972" s="50">
        <v>283.3</v>
      </c>
      <c r="AE3972" s="51">
        <v>60.017000000000003</v>
      </c>
      <c r="AF3972" s="52">
        <f t="shared" si="305"/>
        <v>0.22172571694195639</v>
      </c>
    </row>
    <row r="3973" spans="30:32">
      <c r="AD3973" s="50">
        <v>283.2</v>
      </c>
      <c r="AE3973" s="51">
        <v>59.77</v>
      </c>
      <c r="AF3973" s="52">
        <f t="shared" ref="AF3973:AF4036" si="306">-LOG(AE3973/100)</f>
        <v>0.22351674416631839</v>
      </c>
    </row>
    <row r="3974" spans="30:32">
      <c r="AD3974" s="50">
        <v>283.10000000000002</v>
      </c>
      <c r="AE3974" s="51">
        <v>59.62</v>
      </c>
      <c r="AF3974" s="52">
        <f t="shared" si="306"/>
        <v>0.22460802830338808</v>
      </c>
    </row>
    <row r="3975" spans="30:32">
      <c r="AD3975" s="50">
        <v>283</v>
      </c>
      <c r="AE3975" s="51">
        <v>59.628</v>
      </c>
      <c r="AF3975" s="52">
        <f t="shared" si="306"/>
        <v>0.22454975720684237</v>
      </c>
    </row>
    <row r="3976" spans="30:32">
      <c r="AD3976" s="50">
        <v>282.89999999999998</v>
      </c>
      <c r="AE3976" s="51">
        <v>59.399000000000001</v>
      </c>
      <c r="AF3976" s="52">
        <f t="shared" si="306"/>
        <v>0.22622086643526471</v>
      </c>
    </row>
    <row r="3977" spans="30:32">
      <c r="AD3977" s="50">
        <v>282.8</v>
      </c>
      <c r="AE3977" s="51">
        <v>59.24</v>
      </c>
      <c r="AF3977" s="52">
        <f t="shared" si="306"/>
        <v>0.2273849501508291</v>
      </c>
    </row>
    <row r="3978" spans="30:32">
      <c r="AD3978" s="50">
        <v>282.7</v>
      </c>
      <c r="AE3978" s="51">
        <v>58.91</v>
      </c>
      <c r="AF3978" s="52">
        <f t="shared" si="306"/>
        <v>0.22981097726400673</v>
      </c>
    </row>
    <row r="3979" spans="30:32">
      <c r="AD3979" s="50">
        <v>282.60000000000002</v>
      </c>
      <c r="AE3979" s="51">
        <v>58.624000000000002</v>
      </c>
      <c r="AF3979" s="52">
        <f t="shared" si="306"/>
        <v>0.23192455234826245</v>
      </c>
    </row>
    <row r="3980" spans="30:32">
      <c r="AD3980" s="50">
        <v>282.5</v>
      </c>
      <c r="AE3980" s="51">
        <v>58.274999999999999</v>
      </c>
      <c r="AF3980" s="52">
        <f t="shared" si="306"/>
        <v>0.2345177178073857</v>
      </c>
    </row>
    <row r="3981" spans="30:32">
      <c r="AD3981" s="50">
        <v>282.39999999999998</v>
      </c>
      <c r="AE3981" s="51">
        <v>57.988</v>
      </c>
      <c r="AF3981" s="52">
        <f t="shared" si="306"/>
        <v>0.23666186976432821</v>
      </c>
    </row>
    <row r="3982" spans="30:32">
      <c r="AD3982" s="50">
        <v>282.3</v>
      </c>
      <c r="AE3982" s="51">
        <v>57.731000000000002</v>
      </c>
      <c r="AF3982" s="52">
        <f t="shared" si="306"/>
        <v>0.23859091971043675</v>
      </c>
    </row>
    <row r="3983" spans="30:32">
      <c r="AD3983" s="50">
        <v>282.2</v>
      </c>
      <c r="AE3983" s="51">
        <v>57.451000000000001</v>
      </c>
      <c r="AF3983" s="52">
        <f t="shared" si="306"/>
        <v>0.24070240752047956</v>
      </c>
    </row>
    <row r="3984" spans="30:32">
      <c r="AD3984" s="50">
        <v>282.10000000000002</v>
      </c>
      <c r="AE3984" s="51">
        <v>57.094000000000001</v>
      </c>
      <c r="AF3984" s="52">
        <f t="shared" si="306"/>
        <v>0.24340952929892343</v>
      </c>
    </row>
    <row r="3985" spans="30:32">
      <c r="AD3985" s="50">
        <v>282</v>
      </c>
      <c r="AE3985" s="51">
        <v>56.713999999999999</v>
      </c>
      <c r="AF3985" s="52">
        <f t="shared" si="306"/>
        <v>0.24630972113817376</v>
      </c>
    </row>
    <row r="3986" spans="30:32">
      <c r="AD3986" s="50">
        <v>281.89999999999998</v>
      </c>
      <c r="AE3986" s="51">
        <v>56.392000000000003</v>
      </c>
      <c r="AF3986" s="52">
        <f t="shared" si="306"/>
        <v>0.2487825024401816</v>
      </c>
    </row>
    <row r="3987" spans="30:32">
      <c r="AD3987" s="50">
        <v>281.8</v>
      </c>
      <c r="AE3987" s="51">
        <v>55.972000000000001</v>
      </c>
      <c r="AF3987" s="52">
        <f t="shared" si="306"/>
        <v>0.25202917453966384</v>
      </c>
    </row>
    <row r="3988" spans="30:32">
      <c r="AD3988" s="50">
        <v>281.7</v>
      </c>
      <c r="AE3988" s="51">
        <v>55.676000000000002</v>
      </c>
      <c r="AF3988" s="52">
        <f t="shared" si="306"/>
        <v>0.25433197383444173</v>
      </c>
    </row>
    <row r="3989" spans="30:32">
      <c r="AD3989" s="50">
        <v>281.60000000000002</v>
      </c>
      <c r="AE3989" s="51">
        <v>55.295000000000002</v>
      </c>
      <c r="AF3989" s="52">
        <f t="shared" si="306"/>
        <v>0.25731413760277483</v>
      </c>
    </row>
    <row r="3990" spans="30:32">
      <c r="AD3990" s="50">
        <v>281.5</v>
      </c>
      <c r="AE3990" s="51">
        <v>54.914999999999999</v>
      </c>
      <c r="AF3990" s="52">
        <f t="shared" si="306"/>
        <v>0.26030901206278767</v>
      </c>
    </row>
    <row r="3991" spans="30:32">
      <c r="AD3991" s="50">
        <v>281.39999999999998</v>
      </c>
      <c r="AE3991" s="51">
        <v>54.456000000000003</v>
      </c>
      <c r="AF3991" s="52">
        <f t="shared" si="306"/>
        <v>0.26395426240345798</v>
      </c>
    </row>
    <row r="3992" spans="30:32">
      <c r="AD3992" s="50">
        <v>281.3</v>
      </c>
      <c r="AE3992" s="51">
        <v>53.853999999999999</v>
      </c>
      <c r="AF3992" s="52">
        <f t="shared" si="306"/>
        <v>0.26878203399252393</v>
      </c>
    </row>
    <row r="3993" spans="30:32">
      <c r="AD3993" s="50">
        <v>281.2</v>
      </c>
      <c r="AE3993" s="51">
        <v>53.209000000000003</v>
      </c>
      <c r="AF3993" s="52">
        <f t="shared" si="306"/>
        <v>0.27401490304789361</v>
      </c>
    </row>
    <row r="3994" spans="30:32">
      <c r="AD3994" s="50">
        <v>281.10000000000002</v>
      </c>
      <c r="AE3994" s="51">
        <v>52.503</v>
      </c>
      <c r="AF3994" s="52">
        <f t="shared" si="306"/>
        <v>0.27981588047553102</v>
      </c>
    </row>
    <row r="3995" spans="30:32">
      <c r="AD3995" s="50">
        <v>281</v>
      </c>
      <c r="AE3995" s="51">
        <v>51.743000000000002</v>
      </c>
      <c r="AF3995" s="52">
        <f t="shared" si="306"/>
        <v>0.28614839499181527</v>
      </c>
    </row>
    <row r="3996" spans="30:32">
      <c r="AD3996" s="50">
        <v>280.89999999999998</v>
      </c>
      <c r="AE3996" s="51">
        <v>50.878</v>
      </c>
      <c r="AF3996" s="52">
        <f t="shared" si="306"/>
        <v>0.29346996901914679</v>
      </c>
    </row>
    <row r="3997" spans="30:32">
      <c r="AD3997" s="50">
        <v>280.8</v>
      </c>
      <c r="AE3997" s="51">
        <v>49.805999999999997</v>
      </c>
      <c r="AF3997" s="52">
        <f t="shared" si="306"/>
        <v>0.30271833575574197</v>
      </c>
    </row>
    <row r="3998" spans="30:32">
      <c r="AD3998" s="50">
        <v>280.7</v>
      </c>
      <c r="AE3998" s="51">
        <v>48.643000000000001</v>
      </c>
      <c r="AF3998" s="52">
        <f t="shared" si="306"/>
        <v>0.31297964830629227</v>
      </c>
    </row>
    <row r="3999" spans="30:32">
      <c r="AD3999" s="50">
        <v>280.60000000000002</v>
      </c>
      <c r="AE3999" s="51">
        <v>47.262</v>
      </c>
      <c r="AF3999" s="52">
        <f t="shared" si="306"/>
        <v>0.32548790414703999</v>
      </c>
    </row>
    <row r="4000" spans="30:32">
      <c r="AD4000" s="50">
        <v>280.5</v>
      </c>
      <c r="AE4000" s="51">
        <v>45.834000000000003</v>
      </c>
      <c r="AF4000" s="52">
        <f t="shared" si="306"/>
        <v>0.33881223958867657</v>
      </c>
    </row>
    <row r="4001" spans="30:32">
      <c r="AD4001" s="50">
        <v>280.39999999999998</v>
      </c>
      <c r="AE4001" s="51">
        <v>44.274999999999999</v>
      </c>
      <c r="AF4001" s="52">
        <f t="shared" si="306"/>
        <v>0.35384143013788766</v>
      </c>
    </row>
    <row r="4002" spans="30:32">
      <c r="AD4002" s="50">
        <v>280.3</v>
      </c>
      <c r="AE4002" s="51">
        <v>42.613999999999997</v>
      </c>
      <c r="AF4002" s="52">
        <f t="shared" si="306"/>
        <v>0.37044769845868297</v>
      </c>
    </row>
    <row r="4003" spans="30:32">
      <c r="AD4003" s="50">
        <v>280.2</v>
      </c>
      <c r="AE4003" s="51">
        <v>40.774000000000001</v>
      </c>
      <c r="AF4003" s="52">
        <f t="shared" si="306"/>
        <v>0.38961668141723876</v>
      </c>
    </row>
    <row r="4004" spans="30:32">
      <c r="AD4004" s="50">
        <v>280.10000000000002</v>
      </c>
      <c r="AE4004" s="51">
        <v>38.895000000000003</v>
      </c>
      <c r="AF4004" s="52">
        <f t="shared" si="306"/>
        <v>0.41010622417496728</v>
      </c>
    </row>
    <row r="4005" spans="30:32">
      <c r="AD4005" s="50">
        <v>280</v>
      </c>
      <c r="AE4005" s="51">
        <v>37.133000000000003</v>
      </c>
      <c r="AF4005" s="52">
        <f t="shared" si="306"/>
        <v>0.43023996241365042</v>
      </c>
    </row>
    <row r="4006" spans="30:32">
      <c r="AD4006" s="50">
        <v>279.89999999999998</v>
      </c>
      <c r="AE4006" s="51">
        <v>35.451999999999998</v>
      </c>
      <c r="AF4006" s="52">
        <f t="shared" si="306"/>
        <v>0.45035925936771509</v>
      </c>
    </row>
    <row r="4007" spans="30:32">
      <c r="AD4007" s="50">
        <v>279.8</v>
      </c>
      <c r="AE4007" s="51">
        <v>33.942</v>
      </c>
      <c r="AF4007" s="52">
        <f t="shared" si="306"/>
        <v>0.46926257087594714</v>
      </c>
    </row>
    <row r="4008" spans="30:32">
      <c r="AD4008" s="50">
        <v>279.7</v>
      </c>
      <c r="AE4008" s="51">
        <v>32.597999999999999</v>
      </c>
      <c r="AF4008" s="52">
        <f t="shared" si="306"/>
        <v>0.48680904458263552</v>
      </c>
    </row>
    <row r="4009" spans="30:32">
      <c r="AD4009" s="50">
        <v>279.60000000000002</v>
      </c>
      <c r="AE4009" s="51">
        <v>31.521999999999998</v>
      </c>
      <c r="AF4009" s="52">
        <f t="shared" si="306"/>
        <v>0.50138623530024196</v>
      </c>
    </row>
    <row r="4010" spans="30:32">
      <c r="AD4010" s="50">
        <v>279.5</v>
      </c>
      <c r="AE4010" s="51">
        <v>30.672000000000001</v>
      </c>
      <c r="AF4010" s="52">
        <f t="shared" si="306"/>
        <v>0.5132579044660126</v>
      </c>
    </row>
    <row r="4011" spans="30:32">
      <c r="AD4011" s="50">
        <v>279.39999999999998</v>
      </c>
      <c r="AE4011" s="51">
        <v>30.207999999999998</v>
      </c>
      <c r="AF4011" s="52">
        <f t="shared" si="306"/>
        <v>0.51987802738202515</v>
      </c>
    </row>
    <row r="4012" spans="30:32">
      <c r="AD4012" s="50">
        <v>279.3</v>
      </c>
      <c r="AE4012" s="51">
        <v>30.146999999999998</v>
      </c>
      <c r="AF4012" s="52">
        <f t="shared" si="306"/>
        <v>0.52075589905517594</v>
      </c>
    </row>
    <row r="4013" spans="30:32">
      <c r="AD4013" s="50">
        <v>279.2</v>
      </c>
      <c r="AE4013" s="51">
        <v>30.492999999999999</v>
      </c>
      <c r="AF4013" s="52">
        <f t="shared" si="306"/>
        <v>0.51579984623636865</v>
      </c>
    </row>
    <row r="4014" spans="30:32">
      <c r="AD4014" s="50">
        <v>279.10000000000002</v>
      </c>
      <c r="AE4014" s="51">
        <v>31.241</v>
      </c>
      <c r="AF4014" s="52">
        <f t="shared" si="306"/>
        <v>0.50527507314521369</v>
      </c>
    </row>
    <row r="4015" spans="30:32">
      <c r="AD4015" s="50">
        <v>279</v>
      </c>
      <c r="AE4015" s="51">
        <v>32.255000000000003</v>
      </c>
      <c r="AF4015" s="52">
        <f t="shared" si="306"/>
        <v>0.49140295376993148</v>
      </c>
    </row>
    <row r="4016" spans="30:32">
      <c r="AD4016" s="50">
        <v>278.89999999999998</v>
      </c>
      <c r="AE4016" s="51">
        <v>33.476999999999997</v>
      </c>
      <c r="AF4016" s="52">
        <f t="shared" si="306"/>
        <v>0.47525346769855398</v>
      </c>
    </row>
    <row r="4017" spans="30:32">
      <c r="AD4017" s="50">
        <v>278.8</v>
      </c>
      <c r="AE4017" s="51">
        <v>34.875</v>
      </c>
      <c r="AF4017" s="52">
        <f t="shared" si="306"/>
        <v>0.45748578371834603</v>
      </c>
    </row>
    <row r="4018" spans="30:32">
      <c r="AD4018" s="50">
        <v>278.7</v>
      </c>
      <c r="AE4018" s="51">
        <v>36.363</v>
      </c>
      <c r="AF4018" s="52">
        <f t="shared" si="306"/>
        <v>0.43934029405019809</v>
      </c>
    </row>
    <row r="4019" spans="30:32">
      <c r="AD4019" s="50">
        <v>278.60000000000002</v>
      </c>
      <c r="AE4019" s="51">
        <v>37.969000000000001</v>
      </c>
      <c r="AF4019" s="52">
        <f t="shared" si="306"/>
        <v>0.42057084084284485</v>
      </c>
    </row>
    <row r="4020" spans="30:32">
      <c r="AD4020" s="50">
        <v>278.5</v>
      </c>
      <c r="AE4020" s="51">
        <v>39.700000000000003</v>
      </c>
      <c r="AF4020" s="52">
        <f t="shared" si="306"/>
        <v>0.40120949323688493</v>
      </c>
    </row>
    <row r="4021" spans="30:32">
      <c r="AD4021" s="50">
        <v>278.39999999999998</v>
      </c>
      <c r="AE4021" s="51">
        <v>41.274000000000001</v>
      </c>
      <c r="AF4021" s="52">
        <f t="shared" si="306"/>
        <v>0.38432344016675507</v>
      </c>
    </row>
    <row r="4022" spans="30:32">
      <c r="AD4022" s="50">
        <v>278.3</v>
      </c>
      <c r="AE4022" s="51">
        <v>42.707000000000001</v>
      </c>
      <c r="AF4022" s="52">
        <f t="shared" si="306"/>
        <v>0.36950093499335568</v>
      </c>
    </row>
    <row r="4023" spans="30:32">
      <c r="AD4023" s="50">
        <v>278.2</v>
      </c>
      <c r="AE4023" s="51">
        <v>44.015000000000001</v>
      </c>
      <c r="AF4023" s="52">
        <f t="shared" si="306"/>
        <v>0.35639929380770297</v>
      </c>
    </row>
    <row r="4024" spans="30:32">
      <c r="AD4024" s="50">
        <v>278.10000000000002</v>
      </c>
      <c r="AE4024" s="51">
        <v>45.142000000000003</v>
      </c>
      <c r="AF4024" s="52">
        <f t="shared" si="306"/>
        <v>0.34541920357189737</v>
      </c>
    </row>
    <row r="4025" spans="30:32">
      <c r="AD4025" s="50">
        <v>278</v>
      </c>
      <c r="AE4025" s="51">
        <v>46.179000000000002</v>
      </c>
      <c r="AF4025" s="52">
        <f t="shared" si="306"/>
        <v>0.33555547590529033</v>
      </c>
    </row>
    <row r="4026" spans="30:32">
      <c r="AD4026" s="50">
        <v>277.89999999999998</v>
      </c>
      <c r="AE4026" s="51">
        <v>47.048999999999999</v>
      </c>
      <c r="AF4026" s="52">
        <f t="shared" si="306"/>
        <v>0.32744960282327501</v>
      </c>
    </row>
    <row r="4027" spans="30:32">
      <c r="AD4027" s="50">
        <v>277.8</v>
      </c>
      <c r="AE4027" s="51">
        <v>47.774000000000001</v>
      </c>
      <c r="AF4027" s="52">
        <f t="shared" si="306"/>
        <v>0.32080839478110595</v>
      </c>
    </row>
    <row r="4028" spans="30:32">
      <c r="AD4028" s="50">
        <v>277.7</v>
      </c>
      <c r="AE4028" s="51">
        <v>48.377000000000002</v>
      </c>
      <c r="AF4028" s="52">
        <f t="shared" si="306"/>
        <v>0.3153610670167743</v>
      </c>
    </row>
    <row r="4029" spans="30:32">
      <c r="AD4029" s="50">
        <v>277.60000000000002</v>
      </c>
      <c r="AE4029" s="51">
        <v>48.89</v>
      </c>
      <c r="AF4029" s="52">
        <f t="shared" si="306"/>
        <v>0.31077996273616443</v>
      </c>
    </row>
    <row r="4030" spans="30:32">
      <c r="AD4030" s="50">
        <v>277.5</v>
      </c>
      <c r="AE4030" s="51">
        <v>49.253</v>
      </c>
      <c r="AF4030" s="52">
        <f t="shared" si="306"/>
        <v>0.30756731148584981</v>
      </c>
    </row>
    <row r="4031" spans="30:32">
      <c r="AD4031" s="50">
        <v>277.39999999999998</v>
      </c>
      <c r="AE4031" s="51">
        <v>49.61</v>
      </c>
      <c r="AF4031" s="52">
        <f t="shared" si="306"/>
        <v>0.30443077296381443</v>
      </c>
    </row>
    <row r="4032" spans="30:32">
      <c r="AD4032" s="50">
        <v>277.3</v>
      </c>
      <c r="AE4032" s="51">
        <v>49.792000000000002</v>
      </c>
      <c r="AF4032" s="52">
        <f t="shared" si="306"/>
        <v>0.30284042902642389</v>
      </c>
    </row>
    <row r="4033" spans="30:32">
      <c r="AD4033" s="50">
        <v>277.2</v>
      </c>
      <c r="AE4033" s="51">
        <v>50.039000000000001</v>
      </c>
      <c r="AF4033" s="52">
        <f t="shared" si="306"/>
        <v>0.30069137801181978</v>
      </c>
    </row>
    <row r="4034" spans="30:32">
      <c r="AD4034" s="50">
        <v>277.10000000000002</v>
      </c>
      <c r="AE4034" s="51">
        <v>50.206000000000003</v>
      </c>
      <c r="AF4034" s="52">
        <f t="shared" si="306"/>
        <v>0.29924437824978728</v>
      </c>
    </row>
    <row r="4035" spans="30:32">
      <c r="AD4035" s="50">
        <v>277</v>
      </c>
      <c r="AE4035" s="51">
        <v>50.29</v>
      </c>
      <c r="AF4035" s="52">
        <f t="shared" si="306"/>
        <v>0.29851836437907286</v>
      </c>
    </row>
    <row r="4036" spans="30:32">
      <c r="AD4036" s="50">
        <v>276.89999999999998</v>
      </c>
      <c r="AE4036" s="51">
        <v>50.287999999999997</v>
      </c>
      <c r="AF4036" s="52">
        <f t="shared" si="306"/>
        <v>0.29853563632649521</v>
      </c>
    </row>
    <row r="4037" spans="30:32">
      <c r="AD4037" s="50">
        <v>276.8</v>
      </c>
      <c r="AE4037" s="51">
        <v>50.280999999999999</v>
      </c>
      <c r="AF4037" s="52">
        <f t="shared" ref="AF4037:AF4100" si="307">-LOG(AE4037/100)</f>
        <v>0.29859609355244421</v>
      </c>
    </row>
    <row r="4038" spans="30:32">
      <c r="AD4038" s="50">
        <v>276.7</v>
      </c>
      <c r="AE4038" s="51">
        <v>50.405999999999999</v>
      </c>
      <c r="AF4038" s="52">
        <f t="shared" si="307"/>
        <v>0.29751776490767801</v>
      </c>
    </row>
    <row r="4039" spans="30:32">
      <c r="AD4039" s="50">
        <v>276.60000000000002</v>
      </c>
      <c r="AE4039" s="51">
        <v>50.451999999999998</v>
      </c>
      <c r="AF4039" s="52">
        <f t="shared" si="307"/>
        <v>0.29712161294050116</v>
      </c>
    </row>
    <row r="4040" spans="30:32">
      <c r="AD4040" s="50">
        <v>276.5</v>
      </c>
      <c r="AE4040" s="51">
        <v>50.545999999999999</v>
      </c>
      <c r="AF4040" s="52">
        <f t="shared" si="307"/>
        <v>0.29631320697035529</v>
      </c>
    </row>
    <row r="4041" spans="30:32">
      <c r="AD4041" s="50">
        <v>276.39999999999998</v>
      </c>
      <c r="AE4041" s="51">
        <v>50.613999999999997</v>
      </c>
      <c r="AF4041" s="52">
        <f t="shared" si="307"/>
        <v>0.2957293392515436</v>
      </c>
    </row>
    <row r="4042" spans="30:32">
      <c r="AD4042" s="50">
        <v>276.3</v>
      </c>
      <c r="AE4042" s="51">
        <v>50.627000000000002</v>
      </c>
      <c r="AF4042" s="52">
        <f t="shared" si="307"/>
        <v>0.29561780680331068</v>
      </c>
    </row>
    <row r="4043" spans="30:32">
      <c r="AD4043" s="50">
        <v>276.2</v>
      </c>
      <c r="AE4043" s="51">
        <v>50.713999999999999</v>
      </c>
      <c r="AF4043" s="52">
        <f t="shared" si="307"/>
        <v>0.29487213369553045</v>
      </c>
    </row>
    <row r="4044" spans="30:32">
      <c r="AD4044" s="50">
        <v>276.10000000000002</v>
      </c>
      <c r="AE4044" s="51">
        <v>50.686</v>
      </c>
      <c r="AF4044" s="52">
        <f t="shared" si="307"/>
        <v>0.29511198075277634</v>
      </c>
    </row>
    <row r="4045" spans="30:32">
      <c r="AD4045" s="50">
        <v>276</v>
      </c>
      <c r="AE4045" s="51">
        <v>50.725000000000001</v>
      </c>
      <c r="AF4045" s="52">
        <f t="shared" si="307"/>
        <v>0.2947779442946164</v>
      </c>
    </row>
    <row r="4046" spans="30:32">
      <c r="AD4046" s="50">
        <v>275.89999999999998</v>
      </c>
      <c r="AE4046" s="51">
        <v>50.67</v>
      </c>
      <c r="AF4046" s="52">
        <f t="shared" si="307"/>
        <v>0.29524909570932889</v>
      </c>
    </row>
    <row r="4047" spans="30:32">
      <c r="AD4047" s="50">
        <v>275.8</v>
      </c>
      <c r="AE4047" s="51">
        <v>50.604999999999997</v>
      </c>
      <c r="AF4047" s="52">
        <f t="shared" si="307"/>
        <v>0.29580657080584521</v>
      </c>
    </row>
    <row r="4048" spans="30:32">
      <c r="AD4048" s="50">
        <v>275.7</v>
      </c>
      <c r="AE4048" s="51">
        <v>50.497</v>
      </c>
      <c r="AF4048" s="52">
        <f t="shared" si="307"/>
        <v>0.29673442231988811</v>
      </c>
    </row>
    <row r="4049" spans="30:32">
      <c r="AD4049" s="50">
        <v>275.60000000000002</v>
      </c>
      <c r="AE4049" s="51">
        <v>50.332000000000001</v>
      </c>
      <c r="AF4049" s="52">
        <f t="shared" si="307"/>
        <v>0.29815581206845987</v>
      </c>
    </row>
    <row r="4050" spans="30:32">
      <c r="AD4050" s="50">
        <v>275.5</v>
      </c>
      <c r="AE4050" s="51">
        <v>50.316000000000003</v>
      </c>
      <c r="AF4050" s="52">
        <f t="shared" si="307"/>
        <v>0.29829389154880692</v>
      </c>
    </row>
    <row r="4051" spans="30:32">
      <c r="AD4051" s="50">
        <v>275.39999999999998</v>
      </c>
      <c r="AE4051" s="51">
        <v>50.279000000000003</v>
      </c>
      <c r="AF4051" s="52">
        <f t="shared" si="307"/>
        <v>0.29861336859150384</v>
      </c>
    </row>
    <row r="4052" spans="30:32">
      <c r="AD4052" s="50">
        <v>275.3</v>
      </c>
      <c r="AE4052" s="51">
        <v>50.171999999999997</v>
      </c>
      <c r="AF4052" s="52">
        <f t="shared" si="307"/>
        <v>0.29953858640196052</v>
      </c>
    </row>
    <row r="4053" spans="30:32">
      <c r="AD4053" s="50">
        <v>275.2</v>
      </c>
      <c r="AE4053" s="51">
        <v>50.185000000000002</v>
      </c>
      <c r="AF4053" s="52">
        <f t="shared" si="307"/>
        <v>0.29942607151418338</v>
      </c>
    </row>
    <row r="4054" spans="30:32">
      <c r="AD4054" s="50">
        <v>275.10000000000002</v>
      </c>
      <c r="AE4054" s="51">
        <v>50.13</v>
      </c>
      <c r="AF4054" s="52">
        <f t="shared" si="307"/>
        <v>0.29990229538694618</v>
      </c>
    </row>
    <row r="4055" spans="30:32">
      <c r="AD4055" s="50">
        <v>275</v>
      </c>
      <c r="AE4055" s="51">
        <v>50.106000000000002</v>
      </c>
      <c r="AF4055" s="52">
        <f t="shared" si="307"/>
        <v>0.3001102659317576</v>
      </c>
    </row>
    <row r="4056" spans="30:32">
      <c r="AD4056" s="50">
        <v>274.89999999999998</v>
      </c>
      <c r="AE4056" s="51">
        <v>50.136000000000003</v>
      </c>
      <c r="AF4056" s="52">
        <f t="shared" si="307"/>
        <v>0.2998503183080854</v>
      </c>
    </row>
    <row r="4057" spans="30:32">
      <c r="AD4057" s="50">
        <v>274.8</v>
      </c>
      <c r="AE4057" s="51">
        <v>50.15</v>
      </c>
      <c r="AF4057" s="52">
        <f t="shared" si="307"/>
        <v>0.29972906264356314</v>
      </c>
    </row>
    <row r="4058" spans="30:32">
      <c r="AD4058" s="50">
        <v>274.7</v>
      </c>
      <c r="AE4058" s="51">
        <v>50.064</v>
      </c>
      <c r="AF4058" s="52">
        <f t="shared" si="307"/>
        <v>0.30047445419788193</v>
      </c>
    </row>
    <row r="4059" spans="30:32">
      <c r="AD4059" s="50">
        <v>274.60000000000002</v>
      </c>
      <c r="AE4059" s="51">
        <v>49.97</v>
      </c>
      <c r="AF4059" s="52">
        <f t="shared" si="307"/>
        <v>0.30129065055741316</v>
      </c>
    </row>
    <row r="4060" spans="30:32">
      <c r="AD4060" s="50">
        <v>274.5</v>
      </c>
      <c r="AE4060" s="51">
        <v>50.003</v>
      </c>
      <c r="AF4060" s="52">
        <f t="shared" si="307"/>
        <v>0.30100393877676584</v>
      </c>
    </row>
    <row r="4061" spans="30:32">
      <c r="AD4061" s="50">
        <v>274.39999999999998</v>
      </c>
      <c r="AE4061" s="51">
        <v>50.018999999999998</v>
      </c>
      <c r="AF4061" s="52">
        <f t="shared" si="307"/>
        <v>0.30086499510897824</v>
      </c>
    </row>
    <row r="4062" spans="30:32">
      <c r="AD4062" s="50">
        <v>274.3</v>
      </c>
      <c r="AE4062" s="51">
        <v>50.064999999999998</v>
      </c>
      <c r="AF4062" s="52">
        <f t="shared" si="307"/>
        <v>0.3004657794986057</v>
      </c>
    </row>
    <row r="4063" spans="30:32">
      <c r="AD4063" s="50">
        <v>274.2</v>
      </c>
      <c r="AE4063" s="51">
        <v>50.094000000000001</v>
      </c>
      <c r="AF4063" s="52">
        <f t="shared" si="307"/>
        <v>0.30021428856265092</v>
      </c>
    </row>
    <row r="4064" spans="30:32">
      <c r="AD4064" s="50">
        <v>274.10000000000002</v>
      </c>
      <c r="AE4064" s="51">
        <v>50.094999999999999</v>
      </c>
      <c r="AF4064" s="52">
        <f t="shared" si="307"/>
        <v>0.30020561905837567</v>
      </c>
    </row>
    <row r="4065" spans="30:32">
      <c r="AD4065" s="50">
        <v>274</v>
      </c>
      <c r="AE4065" s="51">
        <v>50.040999999999997</v>
      </c>
      <c r="AF4065" s="52">
        <f t="shared" si="307"/>
        <v>0.30067402011885569</v>
      </c>
    </row>
    <row r="4066" spans="30:32">
      <c r="AD4066" s="50">
        <v>273.89999999999998</v>
      </c>
      <c r="AE4066" s="51">
        <v>50.042000000000002</v>
      </c>
      <c r="AF4066" s="52">
        <f t="shared" si="307"/>
        <v>0.30066534143252704</v>
      </c>
    </row>
    <row r="4067" spans="30:32">
      <c r="AD4067" s="50">
        <v>273.8</v>
      </c>
      <c r="AE4067" s="51">
        <v>50.067999999999998</v>
      </c>
      <c r="AF4067" s="52">
        <f t="shared" si="307"/>
        <v>0.30043975644035109</v>
      </c>
    </row>
    <row r="4068" spans="30:32">
      <c r="AD4068" s="50">
        <v>273.7</v>
      </c>
      <c r="AE4068" s="51">
        <v>50.18</v>
      </c>
      <c r="AF4068" s="52">
        <f t="shared" si="307"/>
        <v>0.29946934302140826</v>
      </c>
    </row>
    <row r="4069" spans="30:32">
      <c r="AD4069" s="50">
        <v>273.60000000000002</v>
      </c>
      <c r="AE4069" s="51">
        <v>50.145000000000003</v>
      </c>
      <c r="AF4069" s="52">
        <f t="shared" si="307"/>
        <v>0.2997723643517502</v>
      </c>
    </row>
    <row r="4070" spans="30:32">
      <c r="AD4070" s="50">
        <v>273.5</v>
      </c>
      <c r="AE4070" s="51">
        <v>50.136000000000003</v>
      </c>
      <c r="AF4070" s="52">
        <f t="shared" si="307"/>
        <v>0.2998503183080854</v>
      </c>
    </row>
    <row r="4071" spans="30:32">
      <c r="AD4071" s="50">
        <v>273.39999999999998</v>
      </c>
      <c r="AE4071" s="51">
        <v>50.027999999999999</v>
      </c>
      <c r="AF4071" s="52">
        <f t="shared" si="307"/>
        <v>0.30078685882607786</v>
      </c>
    </row>
    <row r="4072" spans="30:32">
      <c r="AD4072" s="50">
        <v>273.3</v>
      </c>
      <c r="AE4072" s="51">
        <v>50.031999999999996</v>
      </c>
      <c r="AF4072" s="52">
        <f t="shared" si="307"/>
        <v>0.30075213610114199</v>
      </c>
    </row>
    <row r="4073" spans="30:32">
      <c r="AD4073" s="50">
        <v>273.2</v>
      </c>
      <c r="AE4073" s="51">
        <v>50.026000000000003</v>
      </c>
      <c r="AF4073" s="52">
        <f t="shared" si="307"/>
        <v>0.30080422122965828</v>
      </c>
    </row>
    <row r="4074" spans="30:32">
      <c r="AD4074" s="50">
        <v>273.10000000000002</v>
      </c>
      <c r="AE4074" s="51">
        <v>50.131</v>
      </c>
      <c r="AF4074" s="52">
        <f t="shared" si="307"/>
        <v>0.2998936321084647</v>
      </c>
    </row>
    <row r="4075" spans="30:32">
      <c r="AD4075" s="50">
        <v>273</v>
      </c>
      <c r="AE4075" s="51">
        <v>50.091999999999999</v>
      </c>
      <c r="AF4075" s="52">
        <f t="shared" si="307"/>
        <v>0.30023162809040776</v>
      </c>
    </row>
    <row r="4076" spans="30:32">
      <c r="AD4076" s="50">
        <v>272.89999999999998</v>
      </c>
      <c r="AE4076" s="51">
        <v>50.027000000000001</v>
      </c>
      <c r="AF4076" s="52">
        <f t="shared" si="307"/>
        <v>0.30079553994110286</v>
      </c>
    </row>
    <row r="4077" spans="30:32">
      <c r="AD4077" s="50">
        <v>272.8</v>
      </c>
      <c r="AE4077" s="51">
        <v>49.93</v>
      </c>
      <c r="AF4077" s="52">
        <f t="shared" si="307"/>
        <v>0.30163843394489026</v>
      </c>
    </row>
    <row r="4078" spans="30:32">
      <c r="AD4078" s="50">
        <v>272.7</v>
      </c>
      <c r="AE4078" s="51">
        <v>49.915999999999997</v>
      </c>
      <c r="AF4078" s="52">
        <f t="shared" si="307"/>
        <v>0.30176022395723912</v>
      </c>
    </row>
    <row r="4079" spans="30:32">
      <c r="AD4079" s="50">
        <v>272.60000000000002</v>
      </c>
      <c r="AE4079" s="51">
        <v>49.918999999999997</v>
      </c>
      <c r="AF4079" s="52">
        <f t="shared" si="307"/>
        <v>0.30173412322210413</v>
      </c>
    </row>
    <row r="4080" spans="30:32">
      <c r="AD4080" s="50">
        <v>272.5</v>
      </c>
      <c r="AE4080" s="51">
        <v>49.872999999999998</v>
      </c>
      <c r="AF4080" s="52">
        <f t="shared" si="307"/>
        <v>0.3021345069719541</v>
      </c>
    </row>
    <row r="4081" spans="30:32">
      <c r="AD4081" s="50">
        <v>272.39999999999998</v>
      </c>
      <c r="AE4081" s="51">
        <v>49.877000000000002</v>
      </c>
      <c r="AF4081" s="52">
        <f t="shared" si="307"/>
        <v>0.30209967633679524</v>
      </c>
    </row>
    <row r="4082" spans="30:32">
      <c r="AD4082" s="50">
        <v>272.3</v>
      </c>
      <c r="AE4082" s="51">
        <v>49.75</v>
      </c>
      <c r="AF4082" s="52">
        <f t="shared" si="307"/>
        <v>0.30320691491825574</v>
      </c>
    </row>
    <row r="4083" spans="30:32">
      <c r="AD4083" s="50">
        <v>272.2</v>
      </c>
      <c r="AE4083" s="51">
        <v>49.628999999999998</v>
      </c>
      <c r="AF4083" s="52">
        <f t="shared" si="307"/>
        <v>0.30426447553524333</v>
      </c>
    </row>
    <row r="4084" spans="30:32">
      <c r="AD4084" s="50">
        <v>272.10000000000002</v>
      </c>
      <c r="AE4084" s="51">
        <v>49.542000000000002</v>
      </c>
      <c r="AF4084" s="52">
        <f t="shared" si="307"/>
        <v>0.30502646502044434</v>
      </c>
    </row>
    <row r="4085" spans="30:32">
      <c r="AD4085" s="50">
        <v>272</v>
      </c>
      <c r="AE4085" s="51">
        <v>49.508000000000003</v>
      </c>
      <c r="AF4085" s="52">
        <f t="shared" si="307"/>
        <v>0.30532461773048292</v>
      </c>
    </row>
    <row r="4086" spans="30:32">
      <c r="AD4086" s="50">
        <v>271.89999999999998</v>
      </c>
      <c r="AE4086" s="51">
        <v>49.448</v>
      </c>
      <c r="AF4086" s="52">
        <f t="shared" si="307"/>
        <v>0.30585126941623098</v>
      </c>
    </row>
    <row r="4087" spans="30:32">
      <c r="AD4087" s="50">
        <v>271.8</v>
      </c>
      <c r="AE4087" s="51">
        <v>49.401000000000003</v>
      </c>
      <c r="AF4087" s="52">
        <f t="shared" si="307"/>
        <v>0.30626425977906013</v>
      </c>
    </row>
    <row r="4088" spans="30:32">
      <c r="AD4088" s="50">
        <v>271.7</v>
      </c>
      <c r="AE4088" s="51">
        <v>49.35</v>
      </c>
      <c r="AF4088" s="52">
        <f t="shared" si="307"/>
        <v>0.30671284299434448</v>
      </c>
    </row>
    <row r="4089" spans="30:32">
      <c r="AD4089" s="50">
        <v>271.60000000000002</v>
      </c>
      <c r="AE4089" s="51">
        <v>49.226999999999997</v>
      </c>
      <c r="AF4089" s="52">
        <f t="shared" si="307"/>
        <v>0.30779663026716259</v>
      </c>
    </row>
    <row r="4090" spans="30:32">
      <c r="AD4090" s="50">
        <v>271.5</v>
      </c>
      <c r="AE4090" s="51">
        <v>49.052999999999997</v>
      </c>
      <c r="AF4090" s="52">
        <f t="shared" si="307"/>
        <v>0.30933442674267075</v>
      </c>
    </row>
    <row r="4091" spans="30:32">
      <c r="AD4091" s="50">
        <v>271.39999999999998</v>
      </c>
      <c r="AE4091" s="51">
        <v>48.845999999999997</v>
      </c>
      <c r="AF4091" s="52">
        <f t="shared" si="307"/>
        <v>0.31117099487365119</v>
      </c>
    </row>
    <row r="4092" spans="30:32">
      <c r="AD4092" s="50">
        <v>271.3</v>
      </c>
      <c r="AE4092" s="51">
        <v>48.704000000000001</v>
      </c>
      <c r="AF4092" s="52">
        <f t="shared" si="307"/>
        <v>0.31243536924554</v>
      </c>
    </row>
    <row r="4093" spans="30:32">
      <c r="AD4093" s="50">
        <v>271.2</v>
      </c>
      <c r="AE4093" s="51">
        <v>48.637999999999998</v>
      </c>
      <c r="AF4093" s="52">
        <f t="shared" si="307"/>
        <v>0.31302429160583545</v>
      </c>
    </row>
    <row r="4094" spans="30:32">
      <c r="AD4094" s="50">
        <v>271.10000000000002</v>
      </c>
      <c r="AE4094" s="51">
        <v>48.533999999999999</v>
      </c>
      <c r="AF4094" s="52">
        <f t="shared" si="307"/>
        <v>0.31395391420007346</v>
      </c>
    </row>
    <row r="4095" spans="30:32">
      <c r="AD4095" s="50">
        <v>271</v>
      </c>
      <c r="AE4095" s="51">
        <v>48.421999999999997</v>
      </c>
      <c r="AF4095" s="52">
        <f t="shared" si="307"/>
        <v>0.31495727662444584</v>
      </c>
    </row>
    <row r="4096" spans="30:32">
      <c r="AD4096" s="50">
        <v>270.89999999999998</v>
      </c>
      <c r="AE4096" s="51">
        <v>48.222000000000001</v>
      </c>
      <c r="AF4096" s="52">
        <f t="shared" si="307"/>
        <v>0.31675478128848505</v>
      </c>
    </row>
    <row r="4097" spans="30:32">
      <c r="AD4097" s="50">
        <v>270.8</v>
      </c>
      <c r="AE4097" s="51">
        <v>48.142000000000003</v>
      </c>
      <c r="AF4097" s="52">
        <f t="shared" si="307"/>
        <v>0.31747587145772066</v>
      </c>
    </row>
    <row r="4098" spans="30:32">
      <c r="AD4098" s="50">
        <v>270.7</v>
      </c>
      <c r="AE4098" s="51">
        <v>48.085999999999999</v>
      </c>
      <c r="AF4098" s="52">
        <f t="shared" si="307"/>
        <v>0.31798134790391303</v>
      </c>
    </row>
    <row r="4099" spans="30:32">
      <c r="AD4099" s="50">
        <v>270.60000000000002</v>
      </c>
      <c r="AE4099" s="51">
        <v>48.143000000000001</v>
      </c>
      <c r="AF4099" s="52">
        <f t="shared" si="307"/>
        <v>0.31746685043716877</v>
      </c>
    </row>
    <row r="4100" spans="30:32">
      <c r="AD4100" s="50">
        <v>270.5</v>
      </c>
      <c r="AE4100" s="51">
        <v>48.082000000000001</v>
      </c>
      <c r="AF4100" s="52">
        <f t="shared" si="307"/>
        <v>0.31801747588678914</v>
      </c>
    </row>
    <row r="4101" spans="30:32">
      <c r="AD4101" s="50">
        <v>270.39999999999998</v>
      </c>
      <c r="AE4101" s="51">
        <v>48.026000000000003</v>
      </c>
      <c r="AF4101" s="52">
        <f t="shared" ref="AF4101:AF4164" si="308">-LOG(AE4101/100)</f>
        <v>0.31852358346865456</v>
      </c>
    </row>
    <row r="4102" spans="30:32">
      <c r="AD4102" s="50">
        <v>270.3</v>
      </c>
      <c r="AE4102" s="51">
        <v>47.871000000000002</v>
      </c>
      <c r="AF4102" s="52">
        <f t="shared" si="308"/>
        <v>0.31992750024009486</v>
      </c>
    </row>
    <row r="4103" spans="30:32">
      <c r="AD4103" s="50">
        <v>270.2</v>
      </c>
      <c r="AE4103" s="51">
        <v>47.755000000000003</v>
      </c>
      <c r="AF4103" s="52">
        <f t="shared" si="308"/>
        <v>0.32098115059902443</v>
      </c>
    </row>
    <row r="4104" spans="30:32">
      <c r="AD4104" s="50">
        <v>270.10000000000002</v>
      </c>
      <c r="AE4104" s="51">
        <v>47.665999999999997</v>
      </c>
      <c r="AF4104" s="52">
        <f t="shared" si="308"/>
        <v>0.32179129134577489</v>
      </c>
    </row>
    <row r="4105" spans="30:32">
      <c r="AD4105" s="50">
        <v>270</v>
      </c>
      <c r="AE4105" s="51">
        <v>47.698</v>
      </c>
      <c r="AF4105" s="52">
        <f t="shared" si="308"/>
        <v>0.32149983075388455</v>
      </c>
    </row>
    <row r="4106" spans="30:32">
      <c r="AD4106" s="50">
        <v>269.89999999999998</v>
      </c>
      <c r="AE4106" s="51">
        <v>47.762</v>
      </c>
      <c r="AF4106" s="52">
        <f t="shared" si="308"/>
        <v>0.32091749572337375</v>
      </c>
    </row>
    <row r="4107" spans="30:32">
      <c r="AD4107" s="50">
        <v>269.8</v>
      </c>
      <c r="AE4107" s="51">
        <v>47.704000000000001</v>
      </c>
      <c r="AF4107" s="52">
        <f t="shared" si="308"/>
        <v>0.32144520366231716</v>
      </c>
    </row>
    <row r="4108" spans="30:32">
      <c r="AD4108" s="50">
        <v>269.7</v>
      </c>
      <c r="AE4108" s="51">
        <v>47.66</v>
      </c>
      <c r="AF4108" s="52">
        <f t="shared" si="308"/>
        <v>0.32184596198956272</v>
      </c>
    </row>
    <row r="4109" spans="30:32">
      <c r="AD4109" s="50">
        <v>269.60000000000002</v>
      </c>
      <c r="AE4109" s="51">
        <v>47.601999999999997</v>
      </c>
      <c r="AF4109" s="52">
        <f t="shared" si="308"/>
        <v>0.32237479999554364</v>
      </c>
    </row>
    <row r="4110" spans="30:32">
      <c r="AD4110" s="50">
        <v>269.5</v>
      </c>
      <c r="AE4110" s="51">
        <v>47.526000000000003</v>
      </c>
      <c r="AF4110" s="52">
        <f t="shared" si="308"/>
        <v>0.32306873632653077</v>
      </c>
    </row>
    <row r="4111" spans="30:32">
      <c r="AD4111" s="50">
        <v>269.39999999999998</v>
      </c>
      <c r="AE4111" s="51">
        <v>47.491999999999997</v>
      </c>
      <c r="AF4111" s="52">
        <f t="shared" si="308"/>
        <v>0.32337954086914222</v>
      </c>
    </row>
    <row r="4112" spans="30:32">
      <c r="AD4112" s="50">
        <v>269.3</v>
      </c>
      <c r="AE4112" s="51">
        <v>47.438000000000002</v>
      </c>
      <c r="AF4112" s="52">
        <f t="shared" si="308"/>
        <v>0.32387362924062202</v>
      </c>
    </row>
    <row r="4113" spans="30:32">
      <c r="AD4113" s="50">
        <v>269.2</v>
      </c>
      <c r="AE4113" s="51">
        <v>47.341999999999999</v>
      </c>
      <c r="AF4113" s="52">
        <f t="shared" si="308"/>
        <v>0.32475339890764504</v>
      </c>
    </row>
    <row r="4114" spans="30:32">
      <c r="AD4114" s="50">
        <v>269.10000000000002</v>
      </c>
      <c r="AE4114" s="51">
        <v>47.216999999999999</v>
      </c>
      <c r="AF4114" s="52">
        <f t="shared" si="308"/>
        <v>0.32590160990521899</v>
      </c>
    </row>
    <row r="4115" spans="30:32">
      <c r="AD4115" s="50">
        <v>269</v>
      </c>
      <c r="AE4115" s="51">
        <v>47.133000000000003</v>
      </c>
      <c r="AF4115" s="52">
        <f t="shared" si="308"/>
        <v>0.32667491665918919</v>
      </c>
    </row>
    <row r="4116" spans="30:32">
      <c r="AD4116" s="50">
        <v>268.89999999999998</v>
      </c>
      <c r="AE4116" s="51">
        <v>47.012</v>
      </c>
      <c r="AF4116" s="52">
        <f t="shared" si="308"/>
        <v>0.327791272519732</v>
      </c>
    </row>
    <row r="4117" spans="30:32">
      <c r="AD4117" s="50">
        <v>268.8</v>
      </c>
      <c r="AE4117" s="51">
        <v>46.923999999999999</v>
      </c>
      <c r="AF4117" s="52">
        <f t="shared" si="308"/>
        <v>0.32860497388209842</v>
      </c>
    </row>
    <row r="4118" spans="30:32">
      <c r="AD4118" s="50">
        <v>268.7</v>
      </c>
      <c r="AE4118" s="51">
        <v>46.837000000000003</v>
      </c>
      <c r="AF4118" s="52">
        <f t="shared" si="308"/>
        <v>0.32941093010631228</v>
      </c>
    </row>
    <row r="4119" spans="30:32">
      <c r="AD4119" s="50">
        <v>268.60000000000002</v>
      </c>
      <c r="AE4119" s="51">
        <v>46.76</v>
      </c>
      <c r="AF4119" s="52">
        <f t="shared" si="308"/>
        <v>0.33012549751019754</v>
      </c>
    </row>
    <row r="4120" spans="30:32">
      <c r="AD4120" s="50">
        <v>268.5</v>
      </c>
      <c r="AE4120" s="51">
        <v>46.761000000000003</v>
      </c>
      <c r="AF4120" s="52">
        <f t="shared" si="308"/>
        <v>0.33011620987465207</v>
      </c>
    </row>
    <row r="4121" spans="30:32">
      <c r="AD4121" s="50">
        <v>268.39999999999998</v>
      </c>
      <c r="AE4121" s="51">
        <v>46.718000000000004</v>
      </c>
      <c r="AF4121" s="52">
        <f t="shared" si="308"/>
        <v>0.33051575766696917</v>
      </c>
    </row>
    <row r="4122" spans="30:32">
      <c r="AD4122" s="50">
        <v>268.3</v>
      </c>
      <c r="AE4122" s="51">
        <v>46.472999999999999</v>
      </c>
      <c r="AF4122" s="52">
        <f t="shared" si="308"/>
        <v>0.3327992913388228</v>
      </c>
    </row>
    <row r="4123" spans="30:32">
      <c r="AD4123" s="50">
        <v>268.2</v>
      </c>
      <c r="AE4123" s="51">
        <v>46.316000000000003</v>
      </c>
      <c r="AF4123" s="52">
        <f t="shared" si="308"/>
        <v>0.33426895474132001</v>
      </c>
    </row>
    <row r="4124" spans="30:32">
      <c r="AD4124" s="50">
        <v>268.10000000000002</v>
      </c>
      <c r="AE4124" s="51">
        <v>46.134999999999998</v>
      </c>
      <c r="AF4124" s="52">
        <f t="shared" si="308"/>
        <v>0.33596947505278263</v>
      </c>
    </row>
    <row r="4125" spans="30:32">
      <c r="AD4125" s="50">
        <v>268</v>
      </c>
      <c r="AE4125" s="51">
        <v>46.082000000000001</v>
      </c>
      <c r="AF4125" s="52">
        <f t="shared" si="308"/>
        <v>0.33646868040700656</v>
      </c>
    </row>
    <row r="4126" spans="30:32">
      <c r="AD4126" s="50">
        <v>267.89999999999998</v>
      </c>
      <c r="AE4126" s="51">
        <v>45.970999999999997</v>
      </c>
      <c r="AF4126" s="52">
        <f t="shared" si="308"/>
        <v>0.33751604900674287</v>
      </c>
    </row>
    <row r="4127" spans="30:32">
      <c r="AD4127" s="50">
        <v>267.8</v>
      </c>
      <c r="AE4127" s="51">
        <v>45.86</v>
      </c>
      <c r="AF4127" s="52">
        <f t="shared" si="308"/>
        <v>0.33856594960607994</v>
      </c>
    </row>
    <row r="4128" spans="30:32">
      <c r="AD4128" s="50">
        <v>267.7</v>
      </c>
      <c r="AE4128" s="51">
        <v>45.744</v>
      </c>
      <c r="AF4128" s="52">
        <f t="shared" si="308"/>
        <v>0.33966586198608634</v>
      </c>
    </row>
    <row r="4129" spans="30:32">
      <c r="AD4129" s="50">
        <v>267.60000000000002</v>
      </c>
      <c r="AE4129" s="51">
        <v>45.585999999999999</v>
      </c>
      <c r="AF4129" s="52">
        <f t="shared" si="308"/>
        <v>0.34116851383315061</v>
      </c>
    </row>
    <row r="4130" spans="30:32">
      <c r="AD4130" s="50">
        <v>267.5</v>
      </c>
      <c r="AE4130" s="51">
        <v>45.465000000000003</v>
      </c>
      <c r="AF4130" s="52">
        <f t="shared" si="308"/>
        <v>0.34232280457669645</v>
      </c>
    </row>
    <row r="4131" spans="30:32">
      <c r="AD4131" s="50">
        <v>267.39999999999998</v>
      </c>
      <c r="AE4131" s="51">
        <v>45.433</v>
      </c>
      <c r="AF4131" s="52">
        <f t="shared" si="308"/>
        <v>0.34262858520982431</v>
      </c>
    </row>
    <row r="4132" spans="30:32">
      <c r="AD4132" s="50">
        <v>267.3</v>
      </c>
      <c r="AE4132" s="51">
        <v>45.350999999999999</v>
      </c>
      <c r="AF4132" s="52">
        <f t="shared" si="308"/>
        <v>0.34341313220490643</v>
      </c>
    </row>
    <row r="4133" spans="30:32">
      <c r="AD4133" s="50">
        <v>267.2</v>
      </c>
      <c r="AE4133" s="51">
        <v>45.265999999999998</v>
      </c>
      <c r="AF4133" s="52">
        <f t="shared" si="308"/>
        <v>0.3442278809118508</v>
      </c>
    </row>
    <row r="4134" spans="30:32">
      <c r="AD4134" s="50">
        <v>267.10000000000002</v>
      </c>
      <c r="AE4134" s="51">
        <v>45.084000000000003</v>
      </c>
      <c r="AF4134" s="52">
        <f t="shared" si="308"/>
        <v>0.34597755888899051</v>
      </c>
    </row>
    <row r="4135" spans="30:32">
      <c r="AD4135" s="50">
        <v>267</v>
      </c>
      <c r="AE4135" s="51">
        <v>44.927999999999997</v>
      </c>
      <c r="AF4135" s="52">
        <f t="shared" si="308"/>
        <v>0.34748291388630759</v>
      </c>
    </row>
    <row r="4136" spans="30:32">
      <c r="AD4136" s="50">
        <v>266.89999999999998</v>
      </c>
      <c r="AE4136" s="51">
        <v>44.732999999999997</v>
      </c>
      <c r="AF4136" s="52">
        <f t="shared" si="308"/>
        <v>0.34937197507223317</v>
      </c>
    </row>
    <row r="4137" spans="30:32">
      <c r="AD4137" s="50">
        <v>266.8</v>
      </c>
      <c r="AE4137" s="51">
        <v>44.585999999999999</v>
      </c>
      <c r="AF4137" s="52">
        <f t="shared" si="308"/>
        <v>0.35080148831085695</v>
      </c>
    </row>
    <row r="4138" spans="30:32">
      <c r="AD4138" s="50">
        <v>266.7</v>
      </c>
      <c r="AE4138" s="51">
        <v>44.478999999999999</v>
      </c>
      <c r="AF4138" s="52">
        <f t="shared" si="308"/>
        <v>0.35184498535054665</v>
      </c>
    </row>
    <row r="4139" spans="30:32">
      <c r="AD4139" s="50">
        <v>266.60000000000002</v>
      </c>
      <c r="AE4139" s="51">
        <v>44.401000000000003</v>
      </c>
      <c r="AF4139" s="52">
        <f t="shared" si="308"/>
        <v>0.35260724858827941</v>
      </c>
    </row>
    <row r="4140" spans="30:32">
      <c r="AD4140" s="50">
        <v>266.5</v>
      </c>
      <c r="AE4140" s="51">
        <v>44.256</v>
      </c>
      <c r="AF4140" s="52">
        <f t="shared" si="308"/>
        <v>0.35402784157078343</v>
      </c>
    </row>
    <row r="4141" spans="30:32">
      <c r="AD4141" s="50">
        <v>266.39999999999998</v>
      </c>
      <c r="AE4141" s="51">
        <v>44.036000000000001</v>
      </c>
      <c r="AF4141" s="52">
        <f t="shared" si="308"/>
        <v>0.35619213694877139</v>
      </c>
    </row>
    <row r="4142" spans="30:32">
      <c r="AD4142" s="50">
        <v>266.3</v>
      </c>
      <c r="AE4142" s="51">
        <v>43.93</v>
      </c>
      <c r="AF4142" s="52">
        <f t="shared" si="308"/>
        <v>0.35723879673467956</v>
      </c>
    </row>
    <row r="4143" spans="30:32">
      <c r="AD4143" s="50">
        <v>266.2</v>
      </c>
      <c r="AE4143" s="51">
        <v>43.774000000000001</v>
      </c>
      <c r="AF4143" s="52">
        <f t="shared" si="308"/>
        <v>0.35878376641967352</v>
      </c>
    </row>
    <row r="4144" spans="30:32">
      <c r="AD4144" s="50">
        <v>266.10000000000002</v>
      </c>
      <c r="AE4144" s="51">
        <v>43.662999999999997</v>
      </c>
      <c r="AF4144" s="52">
        <f t="shared" si="308"/>
        <v>0.35988642807064081</v>
      </c>
    </row>
    <row r="4145" spans="30:32">
      <c r="AD4145" s="50">
        <v>266</v>
      </c>
      <c r="AE4145" s="51">
        <v>43.484000000000002</v>
      </c>
      <c r="AF4145" s="52">
        <f t="shared" si="308"/>
        <v>0.36167051292922225</v>
      </c>
    </row>
    <row r="4146" spans="30:32">
      <c r="AD4146" s="50">
        <v>265.89999999999998</v>
      </c>
      <c r="AE4146" s="51">
        <v>43.326999999999998</v>
      </c>
      <c r="AF4146" s="52">
        <f t="shared" si="308"/>
        <v>0.36324138086064189</v>
      </c>
    </row>
    <row r="4147" spans="30:32">
      <c r="AD4147" s="50">
        <v>265.8</v>
      </c>
      <c r="AE4147" s="51">
        <v>43.116</v>
      </c>
      <c r="AF4147" s="52">
        <f t="shared" si="308"/>
        <v>0.3653615367477257</v>
      </c>
    </row>
    <row r="4148" spans="30:32">
      <c r="AD4148" s="50">
        <v>265.7</v>
      </c>
      <c r="AE4148" s="51">
        <v>42.966999999999999</v>
      </c>
      <c r="AF4148" s="52">
        <f t="shared" si="308"/>
        <v>0.36686496814362718</v>
      </c>
    </row>
    <row r="4149" spans="30:32">
      <c r="AD4149" s="50">
        <v>265.60000000000002</v>
      </c>
      <c r="AE4149" s="51">
        <v>42.783000000000001</v>
      </c>
      <c r="AF4149" s="52">
        <f t="shared" si="308"/>
        <v>0.36872876539878968</v>
      </c>
    </row>
    <row r="4150" spans="30:32">
      <c r="AD4150" s="50">
        <v>265.5</v>
      </c>
      <c r="AE4150" s="51">
        <v>42.595999999999997</v>
      </c>
      <c r="AF4150" s="52">
        <f t="shared" si="308"/>
        <v>0.37063118163649167</v>
      </c>
    </row>
    <row r="4151" spans="30:32">
      <c r="AD4151" s="50">
        <v>265.39999999999998</v>
      </c>
      <c r="AE4151" s="51">
        <v>42.441000000000003</v>
      </c>
      <c r="AF4151" s="52">
        <f t="shared" si="308"/>
        <v>0.37221439175077675</v>
      </c>
    </row>
    <row r="4152" spans="30:32">
      <c r="AD4152" s="50">
        <v>265.3</v>
      </c>
      <c r="AE4152" s="51">
        <v>42.27</v>
      </c>
      <c r="AF4152" s="52">
        <f t="shared" si="308"/>
        <v>0.3739677521709811</v>
      </c>
    </row>
    <row r="4153" spans="30:32">
      <c r="AD4153" s="50">
        <v>265.2</v>
      </c>
      <c r="AE4153" s="51">
        <v>42.116999999999997</v>
      </c>
      <c r="AF4153" s="52">
        <f t="shared" si="308"/>
        <v>0.37554257124359991</v>
      </c>
    </row>
    <row r="4154" spans="30:32">
      <c r="AD4154" s="50">
        <v>265.10000000000002</v>
      </c>
      <c r="AE4154" s="51">
        <v>41.942999999999998</v>
      </c>
      <c r="AF4154" s="52">
        <f t="shared" si="308"/>
        <v>0.37734050956810439</v>
      </c>
    </row>
    <row r="4155" spans="30:32">
      <c r="AD4155" s="50">
        <v>265</v>
      </c>
      <c r="AE4155" s="51">
        <v>41.755000000000003</v>
      </c>
      <c r="AF4155" s="52">
        <f t="shared" si="308"/>
        <v>0.37929151197938243</v>
      </c>
    </row>
    <row r="4156" spans="30:32">
      <c r="AD4156" s="50">
        <v>264.89999999999998</v>
      </c>
      <c r="AE4156" s="51">
        <v>41.497999999999998</v>
      </c>
      <c r="AF4156" s="52">
        <f t="shared" si="308"/>
        <v>0.38197283364680695</v>
      </c>
    </row>
    <row r="4157" spans="30:32">
      <c r="AD4157" s="50">
        <v>264.8</v>
      </c>
      <c r="AE4157" s="51">
        <v>41.350999999999999</v>
      </c>
      <c r="AF4157" s="52">
        <f t="shared" si="308"/>
        <v>0.3835139833489063</v>
      </c>
    </row>
    <row r="4158" spans="30:32">
      <c r="AD4158" s="50">
        <v>264.7</v>
      </c>
      <c r="AE4158" s="51">
        <v>41.212000000000003</v>
      </c>
      <c r="AF4158" s="52">
        <f t="shared" si="308"/>
        <v>0.38497630884625983</v>
      </c>
    </row>
    <row r="4159" spans="30:32">
      <c r="AD4159" s="50">
        <v>264.60000000000002</v>
      </c>
      <c r="AE4159" s="51">
        <v>41.045999999999999</v>
      </c>
      <c r="AF4159" s="52">
        <f t="shared" si="308"/>
        <v>0.38672915919180673</v>
      </c>
    </row>
    <row r="4160" spans="30:32">
      <c r="AD4160" s="50">
        <v>264.5</v>
      </c>
      <c r="AE4160" s="51">
        <v>40.853000000000002</v>
      </c>
      <c r="AF4160" s="52">
        <f t="shared" si="308"/>
        <v>0.38877604597106252</v>
      </c>
    </row>
    <row r="4161" spans="30:32">
      <c r="AD4161" s="50">
        <v>264.39999999999998</v>
      </c>
      <c r="AE4161" s="51">
        <v>40.692999999999998</v>
      </c>
      <c r="AF4161" s="52">
        <f t="shared" si="308"/>
        <v>0.39048029158150338</v>
      </c>
    </row>
    <row r="4162" spans="30:32">
      <c r="AD4162" s="50">
        <v>264.3</v>
      </c>
      <c r="AE4162" s="51">
        <v>40.423000000000002</v>
      </c>
      <c r="AF4162" s="52">
        <f t="shared" si="308"/>
        <v>0.39337145838386045</v>
      </c>
    </row>
    <row r="4163" spans="30:32">
      <c r="AD4163" s="50">
        <v>264.2</v>
      </c>
      <c r="AE4163" s="51">
        <v>40.204000000000001</v>
      </c>
      <c r="AF4163" s="52">
        <f t="shared" si="308"/>
        <v>0.39573073568402289</v>
      </c>
    </row>
    <row r="4164" spans="30:32">
      <c r="AD4164" s="50">
        <v>264.10000000000002</v>
      </c>
      <c r="AE4164" s="51">
        <v>40.020000000000003</v>
      </c>
      <c r="AF4164" s="52">
        <f t="shared" si="308"/>
        <v>0.39772291569980733</v>
      </c>
    </row>
    <row r="4165" spans="30:32">
      <c r="AD4165" s="50">
        <v>264</v>
      </c>
      <c r="AE4165" s="51">
        <v>39.779000000000003</v>
      </c>
      <c r="AF4165" s="52">
        <f t="shared" ref="AF4165:AF4228" si="309">-LOG(AE4165/100)</f>
        <v>0.40034613875659825</v>
      </c>
    </row>
    <row r="4166" spans="30:32">
      <c r="AD4166" s="50">
        <v>263.89999999999998</v>
      </c>
      <c r="AE4166" s="51">
        <v>39.506</v>
      </c>
      <c r="AF4166" s="52">
        <f t="shared" si="309"/>
        <v>0.40333694060125841</v>
      </c>
    </row>
    <row r="4167" spans="30:32">
      <c r="AD4167" s="50">
        <v>263.8</v>
      </c>
      <c r="AE4167" s="51">
        <v>39.151000000000003</v>
      </c>
      <c r="AF4167" s="52">
        <f t="shared" si="309"/>
        <v>0.40725714065749491</v>
      </c>
    </row>
    <row r="4168" spans="30:32">
      <c r="AD4168" s="50">
        <v>263.7</v>
      </c>
      <c r="AE4168" s="51">
        <v>38.744999999999997</v>
      </c>
      <c r="AF4168" s="52">
        <f t="shared" si="309"/>
        <v>0.41178433477100163</v>
      </c>
    </row>
    <row r="4169" spans="30:32">
      <c r="AD4169" s="50">
        <v>263.60000000000002</v>
      </c>
      <c r="AE4169" s="51">
        <v>38.356000000000002</v>
      </c>
      <c r="AF4169" s="52">
        <f t="shared" si="309"/>
        <v>0.41616669004429041</v>
      </c>
    </row>
    <row r="4170" spans="30:32">
      <c r="AD4170" s="50">
        <v>263.5</v>
      </c>
      <c r="AE4170" s="51">
        <v>37.994</v>
      </c>
      <c r="AF4170" s="52">
        <f t="shared" si="309"/>
        <v>0.42028498161033501</v>
      </c>
    </row>
    <row r="4171" spans="30:32">
      <c r="AD4171" s="50">
        <v>263.39999999999998</v>
      </c>
      <c r="AE4171" s="51">
        <v>37.722999999999999</v>
      </c>
      <c r="AF4171" s="52">
        <f t="shared" si="309"/>
        <v>0.42339377638971776</v>
      </c>
    </row>
    <row r="4172" spans="30:32">
      <c r="AD4172" s="50">
        <v>263.3</v>
      </c>
      <c r="AE4172" s="51">
        <v>37.372</v>
      </c>
      <c r="AF4172" s="52">
        <f t="shared" si="309"/>
        <v>0.42745365982438738</v>
      </c>
    </row>
    <row r="4173" spans="30:32">
      <c r="AD4173" s="50">
        <v>263.2</v>
      </c>
      <c r="AE4173" s="51">
        <v>36.948</v>
      </c>
      <c r="AF4173" s="52">
        <f t="shared" si="309"/>
        <v>0.43240906504917703</v>
      </c>
    </row>
    <row r="4174" spans="30:32">
      <c r="AD4174" s="50">
        <v>263.10000000000002</v>
      </c>
      <c r="AE4174" s="51">
        <v>36.582999999999998</v>
      </c>
      <c r="AF4174" s="52">
        <f t="shared" si="309"/>
        <v>0.43672068294865135</v>
      </c>
    </row>
    <row r="4175" spans="30:32">
      <c r="AD4175" s="50">
        <v>263</v>
      </c>
      <c r="AE4175" s="51">
        <v>36.234000000000002</v>
      </c>
      <c r="AF4175" s="52">
        <f t="shared" si="309"/>
        <v>0.44088372000803944</v>
      </c>
    </row>
    <row r="4176" spans="30:32">
      <c r="AD4176" s="50">
        <v>262.89999999999998</v>
      </c>
      <c r="AE4176" s="51">
        <v>35.942</v>
      </c>
      <c r="AF4176" s="52">
        <f t="shared" si="309"/>
        <v>0.44439776014866567</v>
      </c>
    </row>
    <row r="4177" spans="30:32">
      <c r="AD4177" s="50">
        <v>262.8</v>
      </c>
      <c r="AE4177" s="51">
        <v>35.704000000000001</v>
      </c>
      <c r="AF4177" s="52">
        <f t="shared" si="309"/>
        <v>0.44728312616752697</v>
      </c>
    </row>
    <row r="4178" spans="30:32">
      <c r="AD4178" s="50">
        <v>262.7</v>
      </c>
      <c r="AE4178" s="51">
        <v>35.427999999999997</v>
      </c>
      <c r="AF4178" s="52">
        <f t="shared" si="309"/>
        <v>0.45065336399423922</v>
      </c>
    </row>
    <row r="4179" spans="30:32">
      <c r="AD4179" s="50">
        <v>262.60000000000002</v>
      </c>
      <c r="AE4179" s="51">
        <v>35.219000000000001</v>
      </c>
      <c r="AF4179" s="52">
        <f t="shared" si="309"/>
        <v>0.45322297944902218</v>
      </c>
    </row>
    <row r="4180" spans="30:32">
      <c r="AD4180" s="50">
        <v>262.5</v>
      </c>
      <c r="AE4180" s="51">
        <v>35.085999999999999</v>
      </c>
      <c r="AF4180" s="52">
        <f t="shared" si="309"/>
        <v>0.454866140959511</v>
      </c>
    </row>
    <row r="4181" spans="30:32">
      <c r="AD4181" s="50">
        <v>262.39999999999998</v>
      </c>
      <c r="AE4181" s="51">
        <v>34.959000000000003</v>
      </c>
      <c r="AF4181" s="52">
        <f t="shared" si="309"/>
        <v>0.45644099882634531</v>
      </c>
    </row>
    <row r="4182" spans="30:32">
      <c r="AD4182" s="50">
        <v>262.3</v>
      </c>
      <c r="AE4182" s="51">
        <v>34.908000000000001</v>
      </c>
      <c r="AF4182" s="52">
        <f t="shared" si="309"/>
        <v>0.45707503270531596</v>
      </c>
    </row>
    <row r="4183" spans="30:32">
      <c r="AD4183" s="50">
        <v>262.2</v>
      </c>
      <c r="AE4183" s="51">
        <v>34.869</v>
      </c>
      <c r="AF4183" s="52">
        <f t="shared" si="309"/>
        <v>0.45756050747660043</v>
      </c>
    </row>
    <row r="4184" spans="30:32">
      <c r="AD4184" s="50">
        <v>262.10000000000002</v>
      </c>
      <c r="AE4184" s="51">
        <v>34.883000000000003</v>
      </c>
      <c r="AF4184" s="52">
        <f t="shared" si="309"/>
        <v>0.45738617203594517</v>
      </c>
    </row>
    <row r="4185" spans="30:32">
      <c r="AD4185" s="50">
        <v>262</v>
      </c>
      <c r="AE4185" s="51">
        <v>34.962000000000003</v>
      </c>
      <c r="AF4185" s="52">
        <f t="shared" si="309"/>
        <v>0.45640373152620628</v>
      </c>
    </row>
    <row r="4186" spans="30:32">
      <c r="AD4186" s="50">
        <v>261.89999999999998</v>
      </c>
      <c r="AE4186" s="51">
        <v>35.012999999999998</v>
      </c>
      <c r="AF4186" s="52">
        <f t="shared" si="309"/>
        <v>0.45577067622077189</v>
      </c>
    </row>
    <row r="4187" spans="30:32">
      <c r="AD4187" s="50">
        <v>261.8</v>
      </c>
      <c r="AE4187" s="51">
        <v>35.054000000000002</v>
      </c>
      <c r="AF4187" s="52">
        <f t="shared" si="309"/>
        <v>0.45526241767422831</v>
      </c>
    </row>
    <row r="4188" spans="30:32">
      <c r="AD4188" s="50">
        <v>261.7</v>
      </c>
      <c r="AE4188" s="51">
        <v>35.027000000000001</v>
      </c>
      <c r="AF4188" s="52">
        <f t="shared" si="309"/>
        <v>0.45559705763631664</v>
      </c>
    </row>
    <row r="4189" spans="30:32">
      <c r="AD4189" s="50">
        <v>261.60000000000002</v>
      </c>
      <c r="AE4189" s="51">
        <v>35.011000000000003</v>
      </c>
      <c r="AF4189" s="52">
        <f t="shared" si="309"/>
        <v>0.45579548454260554</v>
      </c>
    </row>
    <row r="4190" spans="30:32">
      <c r="AD4190" s="50">
        <v>261.5</v>
      </c>
      <c r="AE4190" s="51">
        <v>34.978999999999999</v>
      </c>
      <c r="AF4190" s="52">
        <f t="shared" si="309"/>
        <v>0.45619261054315635</v>
      </c>
    </row>
    <row r="4191" spans="30:32">
      <c r="AD4191" s="50">
        <v>261.39999999999998</v>
      </c>
      <c r="AE4191" s="51">
        <v>34.988</v>
      </c>
      <c r="AF4191" s="52">
        <f t="shared" si="309"/>
        <v>0.45608088214666409</v>
      </c>
    </row>
    <row r="4192" spans="30:32">
      <c r="AD4192" s="50">
        <v>261.3</v>
      </c>
      <c r="AE4192" s="51">
        <v>34.880000000000003</v>
      </c>
      <c r="AF4192" s="52">
        <f t="shared" si="309"/>
        <v>0.45742352373947037</v>
      </c>
    </row>
    <row r="4193" spans="30:32">
      <c r="AD4193" s="50">
        <v>261.2</v>
      </c>
      <c r="AE4193" s="51">
        <v>34.83</v>
      </c>
      <c r="AF4193" s="52">
        <f t="shared" si="309"/>
        <v>0.45804652554176373</v>
      </c>
    </row>
    <row r="4194" spans="30:32">
      <c r="AD4194" s="50">
        <v>261.10000000000002</v>
      </c>
      <c r="AE4194" s="51">
        <v>34.720999999999997</v>
      </c>
      <c r="AF4194" s="52">
        <f t="shared" si="309"/>
        <v>0.45940777519405435</v>
      </c>
    </row>
    <row r="4195" spans="30:32">
      <c r="AD4195" s="50">
        <v>261</v>
      </c>
      <c r="AE4195" s="51">
        <v>34.582000000000001</v>
      </c>
      <c r="AF4195" s="52">
        <f t="shared" si="309"/>
        <v>0.46114989354195368</v>
      </c>
    </row>
    <row r="4196" spans="30:32">
      <c r="AD4196" s="50">
        <v>260.89999999999998</v>
      </c>
      <c r="AE4196" s="51">
        <v>34.493000000000002</v>
      </c>
      <c r="AF4196" s="52">
        <f t="shared" si="309"/>
        <v>0.46226903158838006</v>
      </c>
    </row>
    <row r="4197" spans="30:32">
      <c r="AD4197" s="50">
        <v>260.8</v>
      </c>
      <c r="AE4197" s="51">
        <v>34.420999999999999</v>
      </c>
      <c r="AF4197" s="52">
        <f t="shared" si="309"/>
        <v>0.46317651668791021</v>
      </c>
    </row>
    <row r="4198" spans="30:32">
      <c r="AD4198" s="50">
        <v>260.7</v>
      </c>
      <c r="AE4198" s="51">
        <v>34.366</v>
      </c>
      <c r="AF4198" s="52">
        <f t="shared" si="309"/>
        <v>0.46387101424107929</v>
      </c>
    </row>
    <row r="4199" spans="30:32">
      <c r="AD4199" s="50">
        <v>260.60000000000002</v>
      </c>
      <c r="AE4199" s="51">
        <v>34.33</v>
      </c>
      <c r="AF4199" s="52">
        <f t="shared" si="309"/>
        <v>0.46432619657424989</v>
      </c>
    </row>
    <row r="4200" spans="30:32">
      <c r="AD4200" s="50">
        <v>260.5</v>
      </c>
      <c r="AE4200" s="51">
        <v>34.191000000000003</v>
      </c>
      <c r="AF4200" s="52">
        <f t="shared" si="309"/>
        <v>0.46608819700595472</v>
      </c>
    </row>
    <row r="4201" spans="30:32">
      <c r="AD4201" s="50">
        <v>260.39999999999998</v>
      </c>
      <c r="AE4201" s="51">
        <v>34.1</v>
      </c>
      <c r="AF4201" s="52">
        <f t="shared" si="309"/>
        <v>0.46724562100750222</v>
      </c>
    </row>
    <row r="4202" spans="30:32">
      <c r="AD4202" s="50">
        <v>260.3</v>
      </c>
      <c r="AE4202" s="51">
        <v>34.088999999999999</v>
      </c>
      <c r="AF4202" s="52">
        <f t="shared" si="309"/>
        <v>0.467385738602492</v>
      </c>
    </row>
    <row r="4203" spans="30:32">
      <c r="AD4203" s="50">
        <v>260.2</v>
      </c>
      <c r="AE4203" s="51">
        <v>34.119999999999997</v>
      </c>
      <c r="AF4203" s="52">
        <f t="shared" si="309"/>
        <v>0.46699097750451463</v>
      </c>
    </row>
    <row r="4204" spans="30:32">
      <c r="AD4204" s="50">
        <v>260.10000000000002</v>
      </c>
      <c r="AE4204" s="51">
        <v>34.203000000000003</v>
      </c>
      <c r="AF4204" s="52">
        <f t="shared" si="309"/>
        <v>0.46593579960746018</v>
      </c>
    </row>
    <row r="4205" spans="30:32">
      <c r="AD4205" s="50">
        <v>260</v>
      </c>
      <c r="AE4205" s="51">
        <v>34.268000000000001</v>
      </c>
      <c r="AF4205" s="52">
        <f t="shared" si="309"/>
        <v>0.46511124177119101</v>
      </c>
    </row>
    <row r="4206" spans="30:32">
      <c r="AD4206" s="50">
        <v>259.89999999999998</v>
      </c>
      <c r="AE4206" s="51">
        <v>34.36</v>
      </c>
      <c r="AF4206" s="52">
        <f t="shared" si="309"/>
        <v>0.46394684484079529</v>
      </c>
    </row>
    <row r="4207" spans="30:32">
      <c r="AD4207" s="50">
        <v>259.8</v>
      </c>
      <c r="AE4207" s="51">
        <v>34.459000000000003</v>
      </c>
      <c r="AF4207" s="52">
        <f t="shared" si="309"/>
        <v>0.46269732992871737</v>
      </c>
    </row>
    <row r="4208" spans="30:32">
      <c r="AD4208" s="50">
        <v>259.7</v>
      </c>
      <c r="AE4208" s="51">
        <v>34.548999999999999</v>
      </c>
      <c r="AF4208" s="52">
        <f t="shared" si="309"/>
        <v>0.46156451850011676</v>
      </c>
    </row>
    <row r="4209" spans="30:32">
      <c r="AD4209" s="50">
        <v>259.60000000000002</v>
      </c>
      <c r="AE4209" s="51">
        <v>34.698</v>
      </c>
      <c r="AF4209" s="52">
        <f t="shared" si="309"/>
        <v>0.45969555731276174</v>
      </c>
    </row>
    <row r="4210" spans="30:32">
      <c r="AD4210" s="50">
        <v>259.5</v>
      </c>
      <c r="AE4210" s="51">
        <v>34.86</v>
      </c>
      <c r="AF4210" s="52">
        <f t="shared" si="309"/>
        <v>0.45767261722602559</v>
      </c>
    </row>
    <row r="4211" spans="30:32">
      <c r="AD4211" s="50">
        <v>259.39999999999998</v>
      </c>
      <c r="AE4211" s="51">
        <v>34.942</v>
      </c>
      <c r="AF4211" s="52">
        <f t="shared" si="309"/>
        <v>0.45665224062082366</v>
      </c>
    </row>
    <row r="4212" spans="30:32">
      <c r="AD4212" s="50">
        <v>259.3</v>
      </c>
      <c r="AE4212" s="51">
        <v>35.036999999999999</v>
      </c>
      <c r="AF4212" s="52">
        <f t="shared" si="309"/>
        <v>0.4554730868425132</v>
      </c>
    </row>
    <row r="4213" spans="30:32">
      <c r="AD4213" s="50">
        <v>259.2</v>
      </c>
      <c r="AE4213" s="51">
        <v>35.046999999999997</v>
      </c>
      <c r="AF4213" s="52">
        <f t="shared" si="309"/>
        <v>0.45534915142648374</v>
      </c>
    </row>
    <row r="4214" spans="30:32">
      <c r="AD4214" s="50">
        <v>259.10000000000002</v>
      </c>
      <c r="AE4214" s="51">
        <v>35.101999999999997</v>
      </c>
      <c r="AF4214" s="52">
        <f t="shared" si="309"/>
        <v>0.45466813811484202</v>
      </c>
    </row>
    <row r="4215" spans="30:32">
      <c r="AD4215" s="50">
        <v>259</v>
      </c>
      <c r="AE4215" s="51">
        <v>35.113</v>
      </c>
      <c r="AF4215" s="52">
        <f t="shared" si="309"/>
        <v>0.45453206350571235</v>
      </c>
    </row>
    <row r="4216" spans="30:32">
      <c r="AD4216" s="50">
        <v>258.89999999999998</v>
      </c>
      <c r="AE4216" s="51">
        <v>35.128999999999998</v>
      </c>
      <c r="AF4216" s="52">
        <f t="shared" si="309"/>
        <v>0.45433421287985798</v>
      </c>
    </row>
    <row r="4217" spans="30:32">
      <c r="AD4217" s="50">
        <v>258.8</v>
      </c>
      <c r="AE4217" s="51">
        <v>35.133000000000003</v>
      </c>
      <c r="AF4217" s="52">
        <f t="shared" si="309"/>
        <v>0.45428476430368619</v>
      </c>
    </row>
    <row r="4218" spans="30:32">
      <c r="AD4218" s="50">
        <v>258.7</v>
      </c>
      <c r="AE4218" s="51">
        <v>35.119999999999997</v>
      </c>
      <c r="AF4218" s="52">
        <f t="shared" si="309"/>
        <v>0.4544454927659351</v>
      </c>
    </row>
    <row r="4219" spans="30:32">
      <c r="AD4219" s="50">
        <v>258.60000000000002</v>
      </c>
      <c r="AE4219" s="51">
        <v>35.058999999999997</v>
      </c>
      <c r="AF4219" s="52">
        <f t="shared" si="309"/>
        <v>0.4552004755974895</v>
      </c>
    </row>
    <row r="4220" spans="30:32">
      <c r="AD4220" s="50">
        <v>258.5</v>
      </c>
      <c r="AE4220" s="51">
        <v>34.979999999999997</v>
      </c>
      <c r="AF4220" s="52">
        <f t="shared" si="309"/>
        <v>0.45618019485734235</v>
      </c>
    </row>
    <row r="4221" spans="30:32">
      <c r="AD4221" s="50">
        <v>258.39999999999998</v>
      </c>
      <c r="AE4221" s="51">
        <v>34.901000000000003</v>
      </c>
      <c r="AF4221" s="52">
        <f t="shared" si="309"/>
        <v>0.45716212925113414</v>
      </c>
    </row>
    <row r="4222" spans="30:32">
      <c r="AD4222" s="50">
        <v>258.3</v>
      </c>
      <c r="AE4222" s="51">
        <v>34.826999999999998</v>
      </c>
      <c r="AF4222" s="52">
        <f t="shared" si="309"/>
        <v>0.4580839340849544</v>
      </c>
    </row>
    <row r="4223" spans="30:32">
      <c r="AD4223" s="50">
        <v>258.2</v>
      </c>
      <c r="AE4223" s="51">
        <v>34.744</v>
      </c>
      <c r="AF4223" s="52">
        <f t="shared" si="309"/>
        <v>0.45912018364582735</v>
      </c>
    </row>
    <row r="4224" spans="30:32">
      <c r="AD4224" s="50">
        <v>258.10000000000002</v>
      </c>
      <c r="AE4224" s="51">
        <v>34.692</v>
      </c>
      <c r="AF4224" s="52">
        <f t="shared" si="309"/>
        <v>0.45977066228171731</v>
      </c>
    </row>
    <row r="4225" spans="30:32">
      <c r="AD4225" s="50">
        <v>258</v>
      </c>
      <c r="AE4225" s="51">
        <v>34.625999999999998</v>
      </c>
      <c r="AF4225" s="52">
        <f t="shared" si="309"/>
        <v>0.46059767530769369</v>
      </c>
    </row>
    <row r="4226" spans="30:32">
      <c r="AD4226" s="50">
        <v>257.89999999999998</v>
      </c>
      <c r="AE4226" s="51">
        <v>34.552999999999997</v>
      </c>
      <c r="AF4226" s="52">
        <f t="shared" si="309"/>
        <v>0.46151423984162493</v>
      </c>
    </row>
    <row r="4227" spans="30:32">
      <c r="AD4227" s="50">
        <v>257.8</v>
      </c>
      <c r="AE4227" s="51">
        <v>34.421999999999997</v>
      </c>
      <c r="AF4227" s="52">
        <f t="shared" si="309"/>
        <v>0.46316389973391542</v>
      </c>
    </row>
    <row r="4228" spans="30:32">
      <c r="AD4228" s="50">
        <v>257.7</v>
      </c>
      <c r="AE4228" s="51">
        <v>34.317</v>
      </c>
      <c r="AF4228" s="52">
        <f t="shared" si="309"/>
        <v>0.46449068528700455</v>
      </c>
    </row>
    <row r="4229" spans="30:32">
      <c r="AD4229" s="50">
        <v>257.60000000000002</v>
      </c>
      <c r="AE4229" s="51">
        <v>34.276000000000003</v>
      </c>
      <c r="AF4229" s="52">
        <f t="shared" ref="AF4229:AF4292" si="310">-LOG(AE4229/100)</f>
        <v>0.46500986584124809</v>
      </c>
    </row>
    <row r="4230" spans="30:32">
      <c r="AD4230" s="50">
        <v>257.5</v>
      </c>
      <c r="AE4230" s="51">
        <v>34.229999999999997</v>
      </c>
      <c r="AF4230" s="52">
        <f t="shared" si="310"/>
        <v>0.46559310086212291</v>
      </c>
    </row>
    <row r="4231" spans="30:32">
      <c r="AD4231" s="50">
        <v>257.39999999999998</v>
      </c>
      <c r="AE4231" s="51">
        <v>34.128</v>
      </c>
      <c r="AF4231" s="52">
        <f t="shared" si="310"/>
        <v>0.46688916189464647</v>
      </c>
    </row>
    <row r="4232" spans="30:32">
      <c r="AD4232" s="50">
        <v>257.3</v>
      </c>
      <c r="AE4232" s="51">
        <v>34.04</v>
      </c>
      <c r="AF4232" s="52">
        <f t="shared" si="310"/>
        <v>0.46801044858744978</v>
      </c>
    </row>
    <row r="4233" spans="30:32">
      <c r="AD4233" s="50">
        <v>257.2</v>
      </c>
      <c r="AE4233" s="51">
        <v>33.875999999999998</v>
      </c>
      <c r="AF4233" s="52">
        <f t="shared" si="310"/>
        <v>0.47010787580545588</v>
      </c>
    </row>
    <row r="4234" spans="30:32">
      <c r="AD4234" s="50">
        <v>257.10000000000002</v>
      </c>
      <c r="AE4234" s="51">
        <v>33.710999999999999</v>
      </c>
      <c r="AF4234" s="52">
        <f t="shared" si="310"/>
        <v>0.47222836441642346</v>
      </c>
    </row>
    <row r="4235" spans="30:32">
      <c r="AD4235" s="50">
        <v>257</v>
      </c>
      <c r="AE4235" s="51">
        <v>33.633000000000003</v>
      </c>
      <c r="AF4235" s="52">
        <f t="shared" si="310"/>
        <v>0.47323439271103751</v>
      </c>
    </row>
    <row r="4236" spans="30:32">
      <c r="AD4236" s="50">
        <v>256.89999999999998</v>
      </c>
      <c r="AE4236" s="51">
        <v>33.561999999999998</v>
      </c>
      <c r="AF4236" s="52">
        <f t="shared" si="310"/>
        <v>0.47415216694097856</v>
      </c>
    </row>
    <row r="4237" spans="30:32">
      <c r="AD4237" s="50">
        <v>256.8</v>
      </c>
      <c r="AE4237" s="51">
        <v>33.484999999999999</v>
      </c>
      <c r="AF4237" s="52">
        <f t="shared" si="310"/>
        <v>0.47514969672780172</v>
      </c>
    </row>
    <row r="4238" spans="30:32">
      <c r="AD4238" s="50">
        <v>256.7</v>
      </c>
      <c r="AE4238" s="51">
        <v>33.387999999999998</v>
      </c>
      <c r="AF4238" s="52">
        <f t="shared" si="310"/>
        <v>0.47640959517079529</v>
      </c>
    </row>
    <row r="4239" spans="30:32">
      <c r="AD4239" s="50">
        <v>256.60000000000002</v>
      </c>
      <c r="AE4239" s="51">
        <v>33.292000000000002</v>
      </c>
      <c r="AF4239" s="52">
        <f t="shared" si="310"/>
        <v>0.4776601140390892</v>
      </c>
    </row>
    <row r="4240" spans="30:32">
      <c r="AD4240" s="50">
        <v>256.5</v>
      </c>
      <c r="AE4240" s="51">
        <v>33.122999999999998</v>
      </c>
      <c r="AF4240" s="52">
        <f t="shared" si="310"/>
        <v>0.47987033540038604</v>
      </c>
    </row>
    <row r="4241" spans="30:32">
      <c r="AD4241" s="50">
        <v>256.39999999999998</v>
      </c>
      <c r="AE4241" s="51">
        <v>33.043999999999997</v>
      </c>
      <c r="AF4241" s="52">
        <f t="shared" si="310"/>
        <v>0.48090738650964426</v>
      </c>
    </row>
    <row r="4242" spans="30:32">
      <c r="AD4242" s="50">
        <v>256.3</v>
      </c>
      <c r="AE4242" s="51">
        <v>32.966000000000001</v>
      </c>
      <c r="AF4242" s="52">
        <f t="shared" si="310"/>
        <v>0.48193374570839226</v>
      </c>
    </row>
    <row r="4243" spans="30:32">
      <c r="AD4243" s="50">
        <v>256.2</v>
      </c>
      <c r="AE4243" s="51">
        <v>32.85</v>
      </c>
      <c r="AF4243" s="52">
        <f t="shared" si="310"/>
        <v>0.48346462610420038</v>
      </c>
    </row>
    <row r="4244" spans="30:32">
      <c r="AD4244" s="50">
        <v>256.10000000000002</v>
      </c>
      <c r="AE4244" s="51">
        <v>32.750999999999998</v>
      </c>
      <c r="AF4244" s="52">
        <f t="shared" si="310"/>
        <v>0.48477543497443976</v>
      </c>
    </row>
    <row r="4245" spans="30:32">
      <c r="AD4245" s="50">
        <v>256</v>
      </c>
      <c r="AE4245" s="51">
        <v>32.58</v>
      </c>
      <c r="AF4245" s="52">
        <f t="shared" si="310"/>
        <v>0.48704892002750944</v>
      </c>
    </row>
    <row r="4246" spans="30:32">
      <c r="AD4246" s="50">
        <v>255.9</v>
      </c>
      <c r="AE4246" s="51">
        <v>32.445999999999998</v>
      </c>
      <c r="AF4246" s="52">
        <f t="shared" si="310"/>
        <v>0.48883883615188284</v>
      </c>
    </row>
    <row r="4247" spans="30:32">
      <c r="AD4247" s="50">
        <v>255.8</v>
      </c>
      <c r="AE4247" s="51">
        <v>32.302</v>
      </c>
      <c r="AF4247" s="52">
        <f t="shared" si="310"/>
        <v>0.49077058720222166</v>
      </c>
    </row>
    <row r="4248" spans="30:32">
      <c r="AD4248" s="50">
        <v>255.7</v>
      </c>
      <c r="AE4248" s="51">
        <v>32.203000000000003</v>
      </c>
      <c r="AF4248" s="52">
        <f t="shared" si="310"/>
        <v>0.49210366797012711</v>
      </c>
    </row>
    <row r="4249" spans="30:32">
      <c r="AD4249" s="50">
        <v>255.6</v>
      </c>
      <c r="AE4249" s="51">
        <v>32.134</v>
      </c>
      <c r="AF4249" s="52">
        <f t="shared" si="310"/>
        <v>0.4930352106513371</v>
      </c>
    </row>
    <row r="4250" spans="30:32">
      <c r="AD4250" s="50">
        <v>255.5</v>
      </c>
      <c r="AE4250" s="51">
        <v>32.081000000000003</v>
      </c>
      <c r="AF4250" s="52">
        <f t="shared" si="310"/>
        <v>0.49375210274095649</v>
      </c>
    </row>
    <row r="4251" spans="30:32">
      <c r="AD4251" s="50">
        <v>255.4</v>
      </c>
      <c r="AE4251" s="51">
        <v>31.998999999999999</v>
      </c>
      <c r="AF4251" s="52">
        <f t="shared" si="310"/>
        <v>0.49486359359471577</v>
      </c>
    </row>
    <row r="4252" spans="30:32">
      <c r="AD4252" s="50">
        <v>255.3</v>
      </c>
      <c r="AE4252" s="51">
        <v>31.905999999999999</v>
      </c>
      <c r="AF4252" s="52">
        <f t="shared" si="310"/>
        <v>0.49612763914138641</v>
      </c>
    </row>
    <row r="4253" spans="30:32">
      <c r="AD4253" s="50">
        <v>255.2</v>
      </c>
      <c r="AE4253" s="51">
        <v>31.771999999999998</v>
      </c>
      <c r="AF4253" s="52">
        <f t="shared" si="310"/>
        <v>0.49795544612264658</v>
      </c>
    </row>
    <row r="4254" spans="30:32">
      <c r="AD4254" s="50">
        <v>255.1</v>
      </c>
      <c r="AE4254" s="51">
        <v>31.643000000000001</v>
      </c>
      <c r="AF4254" s="52">
        <f t="shared" si="310"/>
        <v>0.49972234876215921</v>
      </c>
    </row>
    <row r="4255" spans="30:32">
      <c r="AD4255" s="50">
        <v>255</v>
      </c>
      <c r="AE4255" s="51">
        <v>31.51</v>
      </c>
      <c r="AF4255" s="52">
        <f t="shared" si="310"/>
        <v>0.50155159682600037</v>
      </c>
    </row>
    <row r="4256" spans="30:32">
      <c r="AD4256" s="50">
        <v>254.9</v>
      </c>
      <c r="AE4256" s="51">
        <v>31.408999999999999</v>
      </c>
      <c r="AF4256" s="52">
        <f t="shared" si="310"/>
        <v>0.50294589045266891</v>
      </c>
    </row>
    <row r="4257" spans="30:32">
      <c r="AD4257" s="50">
        <v>254.8</v>
      </c>
      <c r="AE4257" s="51">
        <v>31.337</v>
      </c>
      <c r="AF4257" s="52">
        <f t="shared" si="310"/>
        <v>0.50394258239865086</v>
      </c>
    </row>
    <row r="4258" spans="30:32">
      <c r="AD4258" s="50">
        <v>254.7</v>
      </c>
      <c r="AE4258" s="51">
        <v>31.219000000000001</v>
      </c>
      <c r="AF4258" s="52">
        <f t="shared" si="310"/>
        <v>0.50558101227415986</v>
      </c>
    </row>
    <row r="4259" spans="30:32">
      <c r="AD4259" s="50">
        <v>254.6</v>
      </c>
      <c r="AE4259" s="51">
        <v>31.091999999999999</v>
      </c>
      <c r="AF4259" s="52">
        <f t="shared" si="310"/>
        <v>0.50735134096655043</v>
      </c>
    </row>
    <row r="4260" spans="30:32">
      <c r="AD4260" s="50">
        <v>254.5</v>
      </c>
      <c r="AE4260" s="51">
        <v>30.972000000000001</v>
      </c>
      <c r="AF4260" s="52">
        <f t="shared" si="310"/>
        <v>0.50903074940850634</v>
      </c>
    </row>
    <row r="4261" spans="30:32">
      <c r="AD4261" s="50">
        <v>254.4</v>
      </c>
      <c r="AE4261" s="51">
        <v>30.83</v>
      </c>
      <c r="AF4261" s="52">
        <f t="shared" si="310"/>
        <v>0.51102647527349176</v>
      </c>
    </row>
    <row r="4262" spans="30:32">
      <c r="AD4262" s="50">
        <v>254.3</v>
      </c>
      <c r="AE4262" s="51">
        <v>30.774000000000001</v>
      </c>
      <c r="AF4262" s="52">
        <f t="shared" si="310"/>
        <v>0.51181605055060275</v>
      </c>
    </row>
    <row r="4263" spans="30:32">
      <c r="AD4263" s="50">
        <v>254.2</v>
      </c>
      <c r="AE4263" s="51">
        <v>30.681999999999999</v>
      </c>
      <c r="AF4263" s="52">
        <f t="shared" si="310"/>
        <v>0.51311633440187698</v>
      </c>
    </row>
    <row r="4264" spans="30:32">
      <c r="AD4264" s="50">
        <v>254.1</v>
      </c>
      <c r="AE4264" s="51">
        <v>30.603999999999999</v>
      </c>
      <c r="AF4264" s="52">
        <f t="shared" si="310"/>
        <v>0.51422180670807804</v>
      </c>
    </row>
    <row r="4265" spans="30:32">
      <c r="AD4265" s="50">
        <v>254</v>
      </c>
      <c r="AE4265" s="51">
        <v>30.457999999999998</v>
      </c>
      <c r="AF4265" s="52">
        <f t="shared" si="310"/>
        <v>0.5162986176605403</v>
      </c>
    </row>
    <row r="4266" spans="30:32">
      <c r="AD4266" s="50">
        <v>253.9</v>
      </c>
      <c r="AE4266" s="51">
        <v>30.29</v>
      </c>
      <c r="AF4266" s="52">
        <f t="shared" si="310"/>
        <v>0.51870072666714429</v>
      </c>
    </row>
    <row r="4267" spans="30:32">
      <c r="AD4267" s="50">
        <v>253.8</v>
      </c>
      <c r="AE4267" s="51">
        <v>30.105</v>
      </c>
      <c r="AF4267" s="52">
        <f t="shared" si="310"/>
        <v>0.52136136845683323</v>
      </c>
    </row>
    <row r="4268" spans="30:32">
      <c r="AD4268" s="50">
        <v>253.7</v>
      </c>
      <c r="AE4268" s="51">
        <v>30.001000000000001</v>
      </c>
      <c r="AF4268" s="52">
        <f t="shared" si="310"/>
        <v>0.52286426903887684</v>
      </c>
    </row>
    <row r="4269" spans="30:32">
      <c r="AD4269" s="50">
        <v>253.6</v>
      </c>
      <c r="AE4269" s="51">
        <v>29.881</v>
      </c>
      <c r="AF4269" s="52">
        <f t="shared" si="310"/>
        <v>0.52460487247863496</v>
      </c>
    </row>
    <row r="4270" spans="30:32">
      <c r="AD4270" s="50">
        <v>253.5</v>
      </c>
      <c r="AE4270" s="51">
        <v>29.763999999999999</v>
      </c>
      <c r="AF4270" s="52">
        <f t="shared" si="310"/>
        <v>0.52630870413448405</v>
      </c>
    </row>
    <row r="4271" spans="30:32">
      <c r="AD4271" s="50">
        <v>253.4</v>
      </c>
      <c r="AE4271" s="51">
        <v>29.664999999999999</v>
      </c>
      <c r="AF4271" s="52">
        <f t="shared" si="310"/>
        <v>0.52775564732652747</v>
      </c>
    </row>
    <row r="4272" spans="30:32">
      <c r="AD4272" s="50">
        <v>253.3</v>
      </c>
      <c r="AE4272" s="51">
        <v>29.509</v>
      </c>
      <c r="AF4272" s="52">
        <f t="shared" si="310"/>
        <v>0.53004550760747859</v>
      </c>
    </row>
    <row r="4273" spans="30:32">
      <c r="AD4273" s="50">
        <v>253.2</v>
      </c>
      <c r="AE4273" s="51">
        <v>29.358000000000001</v>
      </c>
      <c r="AF4273" s="52">
        <f t="shared" si="310"/>
        <v>0.53227353385641807</v>
      </c>
    </row>
    <row r="4274" spans="30:32">
      <c r="AD4274" s="50">
        <v>253.1</v>
      </c>
      <c r="AE4274" s="51">
        <v>29.210999999999999</v>
      </c>
      <c r="AF4274" s="52">
        <f t="shared" si="310"/>
        <v>0.53445357527403436</v>
      </c>
    </row>
    <row r="4275" spans="30:32">
      <c r="AD4275" s="50">
        <v>253</v>
      </c>
      <c r="AE4275" s="51">
        <v>29.105</v>
      </c>
      <c r="AF4275" s="52">
        <f t="shared" si="310"/>
        <v>0.53603239637910061</v>
      </c>
    </row>
    <row r="4276" spans="30:32">
      <c r="AD4276" s="50">
        <v>252.9</v>
      </c>
      <c r="AE4276" s="51">
        <v>28.992000000000001</v>
      </c>
      <c r="AF4276" s="52">
        <f t="shared" si="310"/>
        <v>0.53772182400328095</v>
      </c>
    </row>
    <row r="4277" spans="30:32">
      <c r="AD4277" s="50">
        <v>252.8</v>
      </c>
      <c r="AE4277" s="51">
        <v>28.827999999999999</v>
      </c>
      <c r="AF4277" s="52">
        <f t="shared" si="310"/>
        <v>0.54018548661259547</v>
      </c>
    </row>
    <row r="4278" spans="30:32">
      <c r="AD4278" s="50">
        <v>252.7</v>
      </c>
      <c r="AE4278" s="51">
        <v>28.646999999999998</v>
      </c>
      <c r="AF4278" s="52">
        <f t="shared" si="310"/>
        <v>0.54292085193967199</v>
      </c>
    </row>
    <row r="4279" spans="30:32">
      <c r="AD4279" s="50">
        <v>252.6</v>
      </c>
      <c r="AE4279" s="51">
        <v>28.448</v>
      </c>
      <c r="AF4279" s="52">
        <f t="shared" si="310"/>
        <v>0.54594826070988034</v>
      </c>
    </row>
    <row r="4280" spans="30:32">
      <c r="AD4280" s="50">
        <v>252.5</v>
      </c>
      <c r="AE4280" s="51">
        <v>28.254000000000001</v>
      </c>
      <c r="AF4280" s="52">
        <f t="shared" si="310"/>
        <v>0.54892005917363385</v>
      </c>
    </row>
    <row r="4281" spans="30:32">
      <c r="AD4281" s="50">
        <v>252.4</v>
      </c>
      <c r="AE4281" s="51">
        <v>28.056999999999999</v>
      </c>
      <c r="AF4281" s="52">
        <f t="shared" si="310"/>
        <v>0.55195876784432163</v>
      </c>
    </row>
    <row r="4282" spans="30:32">
      <c r="AD4282" s="50">
        <v>252.3</v>
      </c>
      <c r="AE4282" s="51">
        <v>27.841000000000001</v>
      </c>
      <c r="AF4282" s="52">
        <f t="shared" si="310"/>
        <v>0.55531516968352079</v>
      </c>
    </row>
    <row r="4283" spans="30:32">
      <c r="AD4283" s="50">
        <v>252.2</v>
      </c>
      <c r="AE4283" s="51">
        <v>27.66</v>
      </c>
      <c r="AF4283" s="52">
        <f t="shared" si="310"/>
        <v>0.55814782422670817</v>
      </c>
    </row>
    <row r="4284" spans="30:32">
      <c r="AD4284" s="50">
        <v>252.1</v>
      </c>
      <c r="AE4284" s="51">
        <v>27.451000000000001</v>
      </c>
      <c r="AF4284" s="52">
        <f t="shared" si="310"/>
        <v>0.56144183020946481</v>
      </c>
    </row>
    <row r="4285" spans="30:32">
      <c r="AD4285" s="50">
        <v>252</v>
      </c>
      <c r="AE4285" s="51">
        <v>27.241</v>
      </c>
      <c r="AF4285" s="52">
        <f t="shared" si="310"/>
        <v>0.56477695378897097</v>
      </c>
    </row>
    <row r="4286" spans="30:32">
      <c r="AD4286" s="50">
        <v>251.9</v>
      </c>
      <c r="AE4286" s="51">
        <v>26.963000000000001</v>
      </c>
      <c r="AF4286" s="52">
        <f t="shared" si="310"/>
        <v>0.56923178828800558</v>
      </c>
    </row>
    <row r="4287" spans="30:32">
      <c r="AD4287" s="50">
        <v>251.8</v>
      </c>
      <c r="AE4287" s="51">
        <v>26.7</v>
      </c>
      <c r="AF4287" s="52">
        <f t="shared" si="310"/>
        <v>0.57348873863542471</v>
      </c>
    </row>
    <row r="4288" spans="30:32">
      <c r="AD4288" s="50">
        <v>251.7</v>
      </c>
      <c r="AE4288" s="51">
        <v>26.463999999999999</v>
      </c>
      <c r="AF4288" s="52">
        <f t="shared" si="310"/>
        <v>0.57734451212754734</v>
      </c>
    </row>
    <row r="4289" spans="30:32">
      <c r="AD4289" s="50">
        <v>251.6</v>
      </c>
      <c r="AE4289" s="51">
        <v>26.233000000000001</v>
      </c>
      <c r="AF4289" s="52">
        <f t="shared" si="310"/>
        <v>0.58115204074993843</v>
      </c>
    </row>
    <row r="4290" spans="30:32">
      <c r="AD4290" s="50">
        <v>251.5</v>
      </c>
      <c r="AE4290" s="51">
        <v>26.048999999999999</v>
      </c>
      <c r="AF4290" s="52">
        <f t="shared" si="310"/>
        <v>0.58420894425765835</v>
      </c>
    </row>
    <row r="4291" spans="30:32">
      <c r="AD4291" s="50">
        <v>251.4</v>
      </c>
      <c r="AE4291" s="51">
        <v>25.806000000000001</v>
      </c>
      <c r="AF4291" s="52">
        <f t="shared" si="310"/>
        <v>0.5882793070622645</v>
      </c>
    </row>
    <row r="4292" spans="30:32">
      <c r="AD4292" s="50">
        <v>251.3</v>
      </c>
      <c r="AE4292" s="51">
        <v>25.593</v>
      </c>
      <c r="AF4292" s="52">
        <f t="shared" si="310"/>
        <v>0.59187880332418541</v>
      </c>
    </row>
    <row r="4293" spans="30:32">
      <c r="AD4293" s="50">
        <v>251.2</v>
      </c>
      <c r="AE4293" s="51">
        <v>25.382999999999999</v>
      </c>
      <c r="AF4293" s="52">
        <f t="shared" ref="AF4293:AF4356" si="311">-LOG(AE4293/100)</f>
        <v>0.5954570502299189</v>
      </c>
    </row>
    <row r="4294" spans="30:32">
      <c r="AD4294" s="50">
        <v>251.1</v>
      </c>
      <c r="AE4294" s="51">
        <v>25.204000000000001</v>
      </c>
      <c r="AF4294" s="52">
        <f t="shared" si="311"/>
        <v>0.59853052905691084</v>
      </c>
    </row>
    <row r="4295" spans="30:32">
      <c r="AD4295" s="50">
        <v>251</v>
      </c>
      <c r="AE4295" s="51">
        <v>25.091999999999999</v>
      </c>
      <c r="AF4295" s="52">
        <f t="shared" si="311"/>
        <v>0.60046472113470339</v>
      </c>
    </row>
    <row r="4296" spans="30:32">
      <c r="AD4296" s="50">
        <v>250.9</v>
      </c>
      <c r="AE4296" s="51">
        <v>25.015000000000001</v>
      </c>
      <c r="AF4296" s="52">
        <f t="shared" si="311"/>
        <v>0.6017994927805721</v>
      </c>
    </row>
    <row r="4297" spans="30:32">
      <c r="AD4297" s="50">
        <v>250.8</v>
      </c>
      <c r="AE4297" s="51">
        <v>24.981999999999999</v>
      </c>
      <c r="AF4297" s="52">
        <f t="shared" si="311"/>
        <v>0.60237279597812488</v>
      </c>
    </row>
    <row r="4298" spans="30:32">
      <c r="AD4298" s="50">
        <v>250.7</v>
      </c>
      <c r="AE4298" s="51">
        <v>24.901</v>
      </c>
      <c r="AF4298" s="52">
        <f t="shared" si="311"/>
        <v>0.60378321170902816</v>
      </c>
    </row>
    <row r="4299" spans="30:32">
      <c r="AD4299" s="50">
        <v>250.6</v>
      </c>
      <c r="AE4299" s="51">
        <v>24.846</v>
      </c>
      <c r="AF4299" s="52">
        <f t="shared" si="311"/>
        <v>0.60474351911397828</v>
      </c>
    </row>
    <row r="4300" spans="30:32">
      <c r="AD4300" s="50">
        <v>250.5</v>
      </c>
      <c r="AE4300" s="51">
        <v>24.824999999999999</v>
      </c>
      <c r="AF4300" s="52">
        <f t="shared" si="311"/>
        <v>0.60511074283258126</v>
      </c>
    </row>
    <row r="4301" spans="30:32">
      <c r="AD4301" s="50">
        <v>250.4</v>
      </c>
      <c r="AE4301" s="51">
        <v>24.841999999999999</v>
      </c>
      <c r="AF4301" s="52">
        <f t="shared" si="311"/>
        <v>0.60481344255349556</v>
      </c>
    </row>
    <row r="4302" spans="30:32">
      <c r="AD4302" s="50">
        <v>250.3</v>
      </c>
      <c r="AE4302" s="51">
        <v>24.94</v>
      </c>
      <c r="AF4302" s="52">
        <f t="shared" si="311"/>
        <v>0.60310355085747613</v>
      </c>
    </row>
    <row r="4303" spans="30:32">
      <c r="AD4303" s="50">
        <v>250.2</v>
      </c>
      <c r="AE4303" s="51">
        <v>25.044</v>
      </c>
      <c r="AF4303" s="52">
        <f t="shared" si="311"/>
        <v>0.6012963048869211</v>
      </c>
    </row>
    <row r="4304" spans="30:32">
      <c r="AD4304" s="50">
        <v>250.1</v>
      </c>
      <c r="AE4304" s="51">
        <v>25.103999999999999</v>
      </c>
      <c r="AF4304" s="52">
        <f t="shared" si="311"/>
        <v>0.60025707375713855</v>
      </c>
    </row>
    <row r="4305" spans="30:32">
      <c r="AD4305" s="50">
        <v>250</v>
      </c>
      <c r="AE4305" s="51">
        <v>25.143999999999998</v>
      </c>
      <c r="AF4305" s="52">
        <f t="shared" si="311"/>
        <v>0.59956563199047641</v>
      </c>
    </row>
    <row r="4306" spans="30:32">
      <c r="AD4306" s="50">
        <v>249.9</v>
      </c>
      <c r="AE4306" s="51">
        <v>25.149000000000001</v>
      </c>
      <c r="AF4306" s="52">
        <f t="shared" si="311"/>
        <v>0.59947927912162113</v>
      </c>
    </row>
    <row r="4307" spans="30:32">
      <c r="AD4307" s="50">
        <v>249.8</v>
      </c>
      <c r="AE4307" s="51">
        <v>25.198</v>
      </c>
      <c r="AF4307" s="52">
        <f t="shared" si="311"/>
        <v>0.59863392840232288</v>
      </c>
    </row>
    <row r="4308" spans="30:32">
      <c r="AD4308" s="50">
        <v>249.7</v>
      </c>
      <c r="AE4308" s="51">
        <v>25.227</v>
      </c>
      <c r="AF4308" s="52">
        <f t="shared" si="311"/>
        <v>0.59813439280038905</v>
      </c>
    </row>
    <row r="4309" spans="30:32">
      <c r="AD4309" s="50">
        <v>249.6</v>
      </c>
      <c r="AE4309" s="51">
        <v>25.273</v>
      </c>
      <c r="AF4309" s="52">
        <f t="shared" si="311"/>
        <v>0.59734320263433649</v>
      </c>
    </row>
    <row r="4310" spans="30:32">
      <c r="AD4310" s="50">
        <v>249.5</v>
      </c>
      <c r="AE4310" s="51">
        <v>25.24</v>
      </c>
      <c r="AF4310" s="52">
        <f t="shared" si="311"/>
        <v>0.5979106494279034</v>
      </c>
    </row>
    <row r="4311" spans="30:32">
      <c r="AD4311" s="50">
        <v>249.4</v>
      </c>
      <c r="AE4311" s="51">
        <v>25.192</v>
      </c>
      <c r="AF4311" s="52">
        <f t="shared" si="311"/>
        <v>0.5987373523715126</v>
      </c>
    </row>
    <row r="4312" spans="30:32">
      <c r="AD4312" s="50">
        <v>249.3</v>
      </c>
      <c r="AE4312" s="51">
        <v>25.164999999999999</v>
      </c>
      <c r="AF4312" s="52">
        <f t="shared" si="311"/>
        <v>0.59920306526684175</v>
      </c>
    </row>
    <row r="4313" spans="30:32">
      <c r="AD4313" s="50">
        <v>249.2</v>
      </c>
      <c r="AE4313" s="51">
        <v>25.14</v>
      </c>
      <c r="AF4313" s="52">
        <f t="shared" si="311"/>
        <v>0.59963472665006101</v>
      </c>
    </row>
    <row r="4314" spans="30:32">
      <c r="AD4314" s="50">
        <v>249.1</v>
      </c>
      <c r="AE4314" s="51">
        <v>25.143000000000001</v>
      </c>
      <c r="AF4314" s="52">
        <f t="shared" si="311"/>
        <v>0.59958290462483366</v>
      </c>
    </row>
    <row r="4315" spans="30:32">
      <c r="AD4315" s="50">
        <v>249</v>
      </c>
      <c r="AE4315" s="51">
        <v>25.120999999999999</v>
      </c>
      <c r="AF4315" s="52">
        <f t="shared" si="311"/>
        <v>0.59996307648588709</v>
      </c>
    </row>
    <row r="4316" spans="30:32">
      <c r="AD4316" s="50">
        <v>248.9</v>
      </c>
      <c r="AE4316" s="51">
        <v>25.138999999999999</v>
      </c>
      <c r="AF4316" s="52">
        <f t="shared" si="311"/>
        <v>0.5996520020327043</v>
      </c>
    </row>
    <row r="4317" spans="30:32">
      <c r="AD4317" s="50">
        <v>248.8</v>
      </c>
      <c r="AE4317" s="51">
        <v>25.135999999999999</v>
      </c>
      <c r="AF4317" s="52">
        <f t="shared" si="311"/>
        <v>0.59970383230410196</v>
      </c>
    </row>
    <row r="4318" spans="30:32">
      <c r="AD4318" s="50">
        <v>248.7</v>
      </c>
      <c r="AE4318" s="51">
        <v>25.125</v>
      </c>
      <c r="AF4318" s="52">
        <f t="shared" si="311"/>
        <v>0.59989392957145471</v>
      </c>
    </row>
    <row r="4319" spans="30:32">
      <c r="AD4319" s="50">
        <v>248.6</v>
      </c>
      <c r="AE4319" s="51">
        <v>25.084</v>
      </c>
      <c r="AF4319" s="52">
        <f t="shared" si="311"/>
        <v>0.60060320789668775</v>
      </c>
    </row>
    <row r="4320" spans="30:32">
      <c r="AD4320" s="50">
        <v>248.5</v>
      </c>
      <c r="AE4320" s="51">
        <v>25.053999999999998</v>
      </c>
      <c r="AF4320" s="52">
        <f t="shared" si="311"/>
        <v>0.60112292691268221</v>
      </c>
    </row>
    <row r="4321" spans="30:34">
      <c r="AD4321" s="50">
        <v>248.4</v>
      </c>
      <c r="AE4321" s="51">
        <v>25.026</v>
      </c>
      <c r="AF4321" s="52">
        <f t="shared" si="311"/>
        <v>0.60160855977052496</v>
      </c>
    </row>
    <row r="4322" spans="30:34">
      <c r="AD4322" s="50">
        <v>248.3</v>
      </c>
      <c r="AE4322" s="51">
        <v>25.027999999999999</v>
      </c>
      <c r="AF4322" s="52">
        <f t="shared" si="311"/>
        <v>0.60157385369451633</v>
      </c>
    </row>
    <row r="4323" spans="30:34">
      <c r="AD4323" s="50">
        <v>248.2</v>
      </c>
      <c r="AE4323" s="51">
        <v>25.033000000000001</v>
      </c>
      <c r="AF4323" s="52">
        <f t="shared" si="311"/>
        <v>0.60148710063657751</v>
      </c>
    </row>
    <row r="4324" spans="30:34">
      <c r="AD4324" s="50">
        <v>248.1</v>
      </c>
      <c r="AE4324" s="51">
        <v>25.02</v>
      </c>
      <c r="AF4324" s="52">
        <f t="shared" si="311"/>
        <v>0.60171269464259891</v>
      </c>
    </row>
    <row r="4325" spans="30:34">
      <c r="AD4325" s="50">
        <v>248</v>
      </c>
      <c r="AE4325" s="51">
        <v>24.986000000000001</v>
      </c>
      <c r="AF4325" s="52">
        <f t="shared" si="311"/>
        <v>0.60230326436063664</v>
      </c>
    </row>
    <row r="4326" spans="30:34">
      <c r="AD4326" s="50">
        <v>247.9</v>
      </c>
      <c r="AE4326" s="51">
        <v>24.914000000000001</v>
      </c>
      <c r="AF4326" s="52">
        <f t="shared" si="311"/>
        <v>0.60355653988757241</v>
      </c>
    </row>
    <row r="4327" spans="30:34">
      <c r="AD4327" s="50">
        <v>247.8</v>
      </c>
      <c r="AE4327" s="51">
        <v>24.914000000000001</v>
      </c>
      <c r="AF4327" s="52">
        <f t="shared" si="311"/>
        <v>0.60355653988757241</v>
      </c>
    </row>
    <row r="4328" spans="30:34">
      <c r="AD4328" s="50">
        <v>247.7</v>
      </c>
      <c r="AE4328" s="51">
        <v>24.881</v>
      </c>
      <c r="AF4328" s="52">
        <f t="shared" si="311"/>
        <v>0.60413216876601172</v>
      </c>
    </row>
    <row r="4329" spans="30:34">
      <c r="AD4329" s="50">
        <v>247.6</v>
      </c>
      <c r="AE4329" s="51">
        <v>24.824999999999999</v>
      </c>
      <c r="AF4329" s="52">
        <f t="shared" si="311"/>
        <v>0.60511074283258126</v>
      </c>
    </row>
    <row r="4330" spans="30:34">
      <c r="AD4330" s="50">
        <v>247.5</v>
      </c>
      <c r="AE4330" s="51">
        <v>24.809000000000001</v>
      </c>
      <c r="AF4330" s="52">
        <f t="shared" si="311"/>
        <v>0.60539074089645462</v>
      </c>
      <c r="AG4330">
        <f>LARGE(AF4330:AF4450,4)</f>
        <v>1.0073934687832355</v>
      </c>
      <c r="AH4330" t="s">
        <v>346</v>
      </c>
    </row>
    <row r="4331" spans="30:34">
      <c r="AD4331" s="50">
        <v>247.4</v>
      </c>
      <c r="AE4331" s="51">
        <v>24.73</v>
      </c>
      <c r="AF4331" s="52">
        <f t="shared" si="311"/>
        <v>0.60677588363870272</v>
      </c>
      <c r="AG4331">
        <f>SMALL(AF4330:AF4450,4)</f>
        <v>0.61032015678075069</v>
      </c>
      <c r="AH4331" t="s">
        <v>347</v>
      </c>
    </row>
    <row r="4332" spans="30:34">
      <c r="AD4332" s="50">
        <v>247.3</v>
      </c>
      <c r="AE4332" s="51">
        <v>24.628</v>
      </c>
      <c r="AF4332" s="52">
        <f t="shared" si="311"/>
        <v>0.60857085508055586</v>
      </c>
    </row>
    <row r="4333" spans="30:34">
      <c r="AD4333" s="50">
        <v>247.2</v>
      </c>
      <c r="AE4333" s="51">
        <v>24.529</v>
      </c>
      <c r="AF4333" s="52">
        <f t="shared" si="311"/>
        <v>0.61032015678075069</v>
      </c>
    </row>
    <row r="4334" spans="30:34">
      <c r="AD4334" s="50">
        <v>247.1</v>
      </c>
      <c r="AE4334" s="51">
        <v>24.466000000000001</v>
      </c>
      <c r="AF4334" s="52">
        <f t="shared" si="311"/>
        <v>0.61143702860192506</v>
      </c>
    </row>
    <row r="4335" spans="30:34">
      <c r="AD4335" s="50">
        <v>247</v>
      </c>
      <c r="AE4335" s="51">
        <v>24.414999999999999</v>
      </c>
      <c r="AF4335" s="52">
        <f t="shared" si="311"/>
        <v>0.61234327137985778</v>
      </c>
    </row>
    <row r="4336" spans="30:34">
      <c r="AD4336" s="50">
        <v>246.9</v>
      </c>
      <c r="AE4336" s="51">
        <v>24.318999999999999</v>
      </c>
      <c r="AF4336" s="52">
        <f t="shared" si="311"/>
        <v>0.6140542872698167</v>
      </c>
    </row>
    <row r="4337" spans="30:32">
      <c r="AD4337" s="50">
        <v>246.8</v>
      </c>
      <c r="AE4337" s="51">
        <v>24.239000000000001</v>
      </c>
      <c r="AF4337" s="52">
        <f t="shared" si="311"/>
        <v>0.61548530131434753</v>
      </c>
    </row>
    <row r="4338" spans="30:32">
      <c r="AD4338" s="50">
        <v>246.7</v>
      </c>
      <c r="AE4338" s="51">
        <v>24.126999999999999</v>
      </c>
      <c r="AF4338" s="52">
        <f t="shared" si="311"/>
        <v>0.61749667578884926</v>
      </c>
    </row>
    <row r="4339" spans="30:32">
      <c r="AD4339" s="50">
        <v>246.6</v>
      </c>
      <c r="AE4339" s="51">
        <v>24.053000000000001</v>
      </c>
      <c r="AF4339" s="52">
        <f t="shared" si="311"/>
        <v>0.61883074872085442</v>
      </c>
    </row>
    <row r="4340" spans="30:32">
      <c r="AD4340" s="50">
        <v>246.5</v>
      </c>
      <c r="AE4340" s="51">
        <v>23.952999999999999</v>
      </c>
      <c r="AF4340" s="52">
        <f t="shared" si="311"/>
        <v>0.62064008551236971</v>
      </c>
    </row>
    <row r="4341" spans="30:32">
      <c r="AD4341" s="50">
        <v>246.4</v>
      </c>
      <c r="AE4341" s="51">
        <v>23.882999999999999</v>
      </c>
      <c r="AF4341" s="52">
        <f t="shared" si="311"/>
        <v>0.62191112136121329</v>
      </c>
    </row>
    <row r="4342" spans="30:32">
      <c r="AD4342" s="50">
        <v>246.3</v>
      </c>
      <c r="AE4342" s="51">
        <v>23.815999999999999</v>
      </c>
      <c r="AF4342" s="52">
        <f t="shared" si="311"/>
        <v>0.62313117836133169</v>
      </c>
    </row>
    <row r="4343" spans="30:32">
      <c r="AD4343" s="50">
        <v>246.2</v>
      </c>
      <c r="AE4343" s="51">
        <v>23.707999999999998</v>
      </c>
      <c r="AF4343" s="52">
        <f t="shared" si="311"/>
        <v>0.62510508143301946</v>
      </c>
    </row>
    <row r="4344" spans="30:32">
      <c r="AD4344" s="50">
        <v>246.1</v>
      </c>
      <c r="AE4344" s="51">
        <v>23.638999999999999</v>
      </c>
      <c r="AF4344" s="52">
        <f t="shared" si="311"/>
        <v>0.62637089935033163</v>
      </c>
    </row>
    <row r="4345" spans="30:32">
      <c r="AD4345" s="50">
        <v>246</v>
      </c>
      <c r="AE4345" s="51">
        <v>23.523</v>
      </c>
      <c r="AF4345" s="52">
        <f t="shared" si="311"/>
        <v>0.62850729142409989</v>
      </c>
    </row>
    <row r="4346" spans="30:32">
      <c r="AD4346" s="50">
        <v>245.9</v>
      </c>
      <c r="AE4346" s="51">
        <v>23.413</v>
      </c>
      <c r="AF4346" s="52">
        <f t="shared" si="311"/>
        <v>0.63054293487362989</v>
      </c>
    </row>
    <row r="4347" spans="30:32">
      <c r="AD4347" s="50">
        <v>245.8</v>
      </c>
      <c r="AE4347" s="51">
        <v>23.341000000000001</v>
      </c>
      <c r="AF4347" s="52">
        <f t="shared" si="311"/>
        <v>0.63188054138497096</v>
      </c>
    </row>
    <row r="4348" spans="30:32">
      <c r="AD4348" s="50">
        <v>245.7</v>
      </c>
      <c r="AE4348" s="51">
        <v>23.248999999999999</v>
      </c>
      <c r="AF4348" s="52">
        <f t="shared" si="311"/>
        <v>0.63359572250829987</v>
      </c>
    </row>
    <row r="4349" spans="30:32">
      <c r="AD4349" s="50">
        <v>245.6</v>
      </c>
      <c r="AE4349" s="51">
        <v>23.15</v>
      </c>
      <c r="AF4349" s="52">
        <f t="shared" si="311"/>
        <v>0.63544900464602805</v>
      </c>
    </row>
    <row r="4350" spans="30:32">
      <c r="AD4350" s="50">
        <v>245.5</v>
      </c>
      <c r="AE4350" s="51">
        <v>23.056000000000001</v>
      </c>
      <c r="AF4350" s="52">
        <f t="shared" si="311"/>
        <v>0.63721603653008585</v>
      </c>
    </row>
    <row r="4351" spans="30:32">
      <c r="AD4351" s="50">
        <v>245.4</v>
      </c>
      <c r="AE4351" s="51">
        <v>22.940999999999999</v>
      </c>
      <c r="AF4351" s="52">
        <f t="shared" si="311"/>
        <v>0.6393876550914076</v>
      </c>
    </row>
    <row r="4352" spans="30:32">
      <c r="AD4352" s="50">
        <v>245.3</v>
      </c>
      <c r="AE4352" s="51">
        <v>22.788</v>
      </c>
      <c r="AF4352" s="52">
        <f t="shared" si="311"/>
        <v>0.64229378921535762</v>
      </c>
    </row>
    <row r="4353" spans="30:32">
      <c r="AD4353" s="50">
        <v>245.2</v>
      </c>
      <c r="AE4353" s="51">
        <v>22.689</v>
      </c>
      <c r="AF4353" s="52">
        <f t="shared" si="311"/>
        <v>0.64418464488422922</v>
      </c>
    </row>
    <row r="4354" spans="30:32">
      <c r="AD4354" s="50">
        <v>245.1</v>
      </c>
      <c r="AE4354" s="51">
        <v>22.542999999999999</v>
      </c>
      <c r="AF4354" s="52">
        <f t="shared" si="311"/>
        <v>0.64698828896654725</v>
      </c>
    </row>
    <row r="4355" spans="30:32">
      <c r="AD4355" s="50">
        <v>245</v>
      </c>
      <c r="AE4355" s="51">
        <v>22.446999999999999</v>
      </c>
      <c r="AF4355" s="52">
        <f t="shared" si="311"/>
        <v>0.64884169343597253</v>
      </c>
    </row>
    <row r="4356" spans="30:32">
      <c r="AD4356" s="50">
        <v>244.9</v>
      </c>
      <c r="AE4356" s="51">
        <v>22.256</v>
      </c>
      <c r="AF4356" s="52">
        <f t="shared" si="311"/>
        <v>0.65255288735202877</v>
      </c>
    </row>
    <row r="4357" spans="30:32">
      <c r="AD4357" s="50">
        <v>244.8</v>
      </c>
      <c r="AE4357" s="51">
        <v>22.088000000000001</v>
      </c>
      <c r="AF4357" s="52">
        <f t="shared" ref="AF4357:AF4420" si="312">-LOG(AE4357/100)</f>
        <v>0.65584360636879324</v>
      </c>
    </row>
    <row r="4358" spans="30:32">
      <c r="AD4358" s="50">
        <v>244.7</v>
      </c>
      <c r="AE4358" s="51">
        <v>21.896999999999998</v>
      </c>
      <c r="AF4358" s="52">
        <f t="shared" si="312"/>
        <v>0.65961538162985667</v>
      </c>
    </row>
    <row r="4359" spans="30:32">
      <c r="AD4359" s="50">
        <v>244.6</v>
      </c>
      <c r="AE4359" s="51">
        <v>21.658000000000001</v>
      </c>
      <c r="AF4359" s="52">
        <f t="shared" si="312"/>
        <v>0.6643816506223944</v>
      </c>
    </row>
    <row r="4360" spans="30:32">
      <c r="AD4360" s="50">
        <v>244.5</v>
      </c>
      <c r="AE4360" s="51">
        <v>21.390999999999998</v>
      </c>
      <c r="AF4360" s="52">
        <f t="shared" si="312"/>
        <v>0.66976891228072033</v>
      </c>
    </row>
    <row r="4361" spans="30:32">
      <c r="AD4361" s="50">
        <v>244.4</v>
      </c>
      <c r="AE4361" s="51">
        <v>21.132000000000001</v>
      </c>
      <c r="AF4361" s="52">
        <f t="shared" si="312"/>
        <v>0.67505939798509829</v>
      </c>
    </row>
    <row r="4362" spans="30:32">
      <c r="AD4362" s="50">
        <v>244.3</v>
      </c>
      <c r="AE4362" s="51">
        <v>20.867999999999999</v>
      </c>
      <c r="AF4362" s="52">
        <f t="shared" si="312"/>
        <v>0.68051917194966272</v>
      </c>
    </row>
    <row r="4363" spans="30:32">
      <c r="AD4363" s="50">
        <v>244.2</v>
      </c>
      <c r="AE4363" s="51">
        <v>20.576000000000001</v>
      </c>
      <c r="AF4363" s="52">
        <f t="shared" si="312"/>
        <v>0.68663904875587201</v>
      </c>
    </row>
    <row r="4364" spans="30:32">
      <c r="AD4364" s="50">
        <v>244.1</v>
      </c>
      <c r="AE4364" s="51">
        <v>20.216999999999999</v>
      </c>
      <c r="AF4364" s="52">
        <f t="shared" si="312"/>
        <v>0.69428328890863522</v>
      </c>
    </row>
    <row r="4365" spans="30:32">
      <c r="AD4365" s="50">
        <v>244</v>
      </c>
      <c r="AE4365" s="51">
        <v>19.855</v>
      </c>
      <c r="AF4365" s="52">
        <f t="shared" si="312"/>
        <v>0.70213010860009817</v>
      </c>
    </row>
    <row r="4366" spans="30:32">
      <c r="AD4366" s="50">
        <v>243.9</v>
      </c>
      <c r="AE4366" s="51">
        <v>19.5</v>
      </c>
      <c r="AF4366" s="52">
        <f t="shared" si="312"/>
        <v>0.70996538863748193</v>
      </c>
    </row>
    <row r="4367" spans="30:32">
      <c r="AD4367" s="50">
        <v>243.8</v>
      </c>
      <c r="AE4367" s="51">
        <v>19.178000000000001</v>
      </c>
      <c r="AF4367" s="52">
        <f t="shared" si="312"/>
        <v>0.71719668570827155</v>
      </c>
    </row>
    <row r="4368" spans="30:32">
      <c r="AD4368" s="50">
        <v>243.7</v>
      </c>
      <c r="AE4368" s="51">
        <v>18.841000000000001</v>
      </c>
      <c r="AF4368" s="52">
        <f t="shared" si="312"/>
        <v>0.7248960504308033</v>
      </c>
    </row>
    <row r="4369" spans="30:32">
      <c r="AD4369" s="50">
        <v>243.6</v>
      </c>
      <c r="AE4369" s="51">
        <v>18.536999999999999</v>
      </c>
      <c r="AF4369" s="52">
        <f t="shared" si="312"/>
        <v>0.73196055006575933</v>
      </c>
    </row>
    <row r="4370" spans="30:32">
      <c r="AD4370" s="50">
        <v>243.5</v>
      </c>
      <c r="AE4370" s="51">
        <v>18.213999999999999</v>
      </c>
      <c r="AF4370" s="52">
        <f t="shared" si="312"/>
        <v>0.73959466776017568</v>
      </c>
    </row>
    <row r="4371" spans="30:32">
      <c r="AD4371" s="50">
        <v>243.4</v>
      </c>
      <c r="AE4371" s="51">
        <v>17.91</v>
      </c>
      <c r="AF4371" s="52">
        <f t="shared" si="312"/>
        <v>0.74690441415096842</v>
      </c>
    </row>
    <row r="4372" spans="30:32">
      <c r="AD4372" s="50">
        <v>243.3</v>
      </c>
      <c r="AE4372" s="51">
        <v>17.611999999999998</v>
      </c>
      <c r="AF4372" s="52">
        <f t="shared" si="312"/>
        <v>0.75419132321251192</v>
      </c>
    </row>
    <row r="4373" spans="30:32">
      <c r="AD4373" s="50">
        <v>243.2</v>
      </c>
      <c r="AE4373" s="51">
        <v>17.326000000000001</v>
      </c>
      <c r="AF4373" s="52">
        <f t="shared" si="312"/>
        <v>0.76130168993701375</v>
      </c>
    </row>
    <row r="4374" spans="30:32">
      <c r="AD4374" s="50">
        <v>243.1</v>
      </c>
      <c r="AE4374" s="51">
        <v>17.018000000000001</v>
      </c>
      <c r="AF4374" s="52">
        <f t="shared" si="312"/>
        <v>0.7690914806792355</v>
      </c>
    </row>
    <row r="4375" spans="30:32">
      <c r="AD4375" s="50">
        <v>243</v>
      </c>
      <c r="AE4375" s="51">
        <v>16.739999999999998</v>
      </c>
      <c r="AF4375" s="52">
        <f t="shared" si="312"/>
        <v>0.77624454634275886</v>
      </c>
    </row>
    <row r="4376" spans="30:32">
      <c r="AD4376" s="50">
        <v>242.9</v>
      </c>
      <c r="AE4376" s="51">
        <v>16.431999999999999</v>
      </c>
      <c r="AF4376" s="52">
        <f t="shared" si="312"/>
        <v>0.784309573746797</v>
      </c>
    </row>
    <row r="4377" spans="30:32">
      <c r="AD4377" s="50">
        <v>242.8</v>
      </c>
      <c r="AE4377" s="51">
        <v>16.012</v>
      </c>
      <c r="AF4377" s="52">
        <f t="shared" si="312"/>
        <v>0.79555441856693243</v>
      </c>
    </row>
    <row r="4378" spans="30:32">
      <c r="AD4378" s="50">
        <v>242.7</v>
      </c>
      <c r="AE4378" s="51">
        <v>15.503</v>
      </c>
      <c r="AF4378" s="52">
        <f t="shared" si="312"/>
        <v>0.80958425296670966</v>
      </c>
    </row>
    <row r="4379" spans="30:32">
      <c r="AD4379" s="50">
        <v>242.6</v>
      </c>
      <c r="AE4379" s="51">
        <v>14.935</v>
      </c>
      <c r="AF4379" s="52">
        <f t="shared" si="312"/>
        <v>0.82579477305985283</v>
      </c>
    </row>
    <row r="4380" spans="30:32">
      <c r="AD4380" s="50">
        <v>242.5</v>
      </c>
      <c r="AE4380" s="51">
        <v>14.347</v>
      </c>
      <c r="AF4380" s="52">
        <f t="shared" si="312"/>
        <v>0.84323890169337579</v>
      </c>
    </row>
    <row r="4381" spans="30:32">
      <c r="AD4381" s="50">
        <v>242.4</v>
      </c>
      <c r="AE4381" s="51">
        <v>13.657</v>
      </c>
      <c r="AF4381" s="52">
        <f t="shared" si="312"/>
        <v>0.86464469059122506</v>
      </c>
    </row>
    <row r="4382" spans="30:32">
      <c r="AD4382" s="50">
        <v>242.3</v>
      </c>
      <c r="AE4382" s="51">
        <v>12.992000000000001</v>
      </c>
      <c r="AF4382" s="52">
        <f t="shared" si="312"/>
        <v>0.88632398810289992</v>
      </c>
    </row>
    <row r="4383" spans="30:32">
      <c r="AD4383" s="50">
        <v>242.2</v>
      </c>
      <c r="AE4383" s="51">
        <v>12.266999999999999</v>
      </c>
      <c r="AF4383" s="52">
        <f t="shared" si="312"/>
        <v>0.91126163472600152</v>
      </c>
    </row>
    <row r="4384" spans="30:32">
      <c r="AD4384" s="50">
        <v>242.1</v>
      </c>
      <c r="AE4384" s="51">
        <v>11.536</v>
      </c>
      <c r="AF4384" s="52">
        <f t="shared" si="312"/>
        <v>0.93794475262464627</v>
      </c>
    </row>
    <row r="4385" spans="30:32">
      <c r="AD4385" s="50">
        <v>242</v>
      </c>
      <c r="AE4385" s="51">
        <v>10.855</v>
      </c>
      <c r="AF4385" s="52">
        <f t="shared" si="312"/>
        <v>0.96437017220956112</v>
      </c>
    </row>
    <row r="4386" spans="30:32">
      <c r="AD4386" s="50">
        <v>241.9</v>
      </c>
      <c r="AE4386" s="51">
        <v>10.256</v>
      </c>
      <c r="AF4386" s="52">
        <f t="shared" si="312"/>
        <v>0.98902198782525785</v>
      </c>
    </row>
    <row r="4387" spans="30:32">
      <c r="AD4387" s="50">
        <v>241.8</v>
      </c>
      <c r="AE4387" s="51">
        <v>9.8312000000000008</v>
      </c>
      <c r="AF4387" s="52">
        <f t="shared" si="312"/>
        <v>1.0073934687832355</v>
      </c>
    </row>
    <row r="4388" spans="30:32">
      <c r="AD4388" s="50">
        <v>241.7</v>
      </c>
      <c r="AE4388" s="51">
        <v>9.5665999999999993</v>
      </c>
      <c r="AF4388" s="52">
        <f t="shared" si="312"/>
        <v>1.0192423844385978</v>
      </c>
    </row>
    <row r="4389" spans="30:32">
      <c r="AD4389" s="50">
        <v>241.6</v>
      </c>
      <c r="AE4389" s="51">
        <v>9.5130999999999997</v>
      </c>
      <c r="AF4389" s="52">
        <f t="shared" si="312"/>
        <v>1.0216779380035981</v>
      </c>
    </row>
    <row r="4390" spans="30:32">
      <c r="AD4390" s="50">
        <v>241.5</v>
      </c>
      <c r="AE4390" s="51">
        <v>9.6468000000000007</v>
      </c>
      <c r="AF4390" s="52">
        <f t="shared" si="312"/>
        <v>1.0156167252900565</v>
      </c>
    </row>
    <row r="4391" spans="30:32">
      <c r="AD4391" s="50">
        <v>241.4</v>
      </c>
      <c r="AE4391" s="51">
        <v>9.9748999999999999</v>
      </c>
      <c r="AF4391" s="52">
        <f t="shared" si="312"/>
        <v>1.0010914494924306</v>
      </c>
    </row>
    <row r="4392" spans="30:32">
      <c r="AD4392" s="50">
        <v>241.3</v>
      </c>
      <c r="AE4392" s="51">
        <v>10.436999999999999</v>
      </c>
      <c r="AF4392" s="52">
        <f t="shared" si="312"/>
        <v>0.98142431653274864</v>
      </c>
    </row>
    <row r="4393" spans="30:32">
      <c r="AD4393" s="50">
        <v>241.2</v>
      </c>
      <c r="AE4393" s="51">
        <v>11.026999999999999</v>
      </c>
      <c r="AF4393" s="52">
        <f t="shared" si="312"/>
        <v>0.95754262542567914</v>
      </c>
    </row>
    <row r="4394" spans="30:32">
      <c r="AD4394" s="50">
        <v>241.1</v>
      </c>
      <c r="AE4394" s="51">
        <v>11.718</v>
      </c>
      <c r="AF4394" s="52">
        <f t="shared" si="312"/>
        <v>0.93114650632850193</v>
      </c>
    </row>
    <row r="4395" spans="30:32">
      <c r="AD4395" s="50">
        <v>241</v>
      </c>
      <c r="AE4395" s="51">
        <v>12.414999999999999</v>
      </c>
      <c r="AF4395" s="52">
        <f t="shared" si="312"/>
        <v>0.90605327610941688</v>
      </c>
    </row>
    <row r="4396" spans="30:32">
      <c r="AD4396" s="50">
        <v>240.9</v>
      </c>
      <c r="AE4396" s="51">
        <v>13.154</v>
      </c>
      <c r="AF4396" s="52">
        <f t="shared" si="312"/>
        <v>0.8809421624767626</v>
      </c>
    </row>
    <row r="4397" spans="30:32">
      <c r="AD4397" s="50">
        <v>240.8</v>
      </c>
      <c r="AE4397" s="51">
        <v>13.819000000000001</v>
      </c>
      <c r="AF4397" s="52">
        <f t="shared" si="312"/>
        <v>0.85952338316986643</v>
      </c>
    </row>
    <row r="4398" spans="30:32">
      <c r="AD4398" s="50">
        <v>240.7</v>
      </c>
      <c r="AE4398" s="51">
        <v>14.504</v>
      </c>
      <c r="AF4398" s="52">
        <f t="shared" si="312"/>
        <v>0.83851220891254774</v>
      </c>
    </row>
    <row r="4399" spans="30:32">
      <c r="AD4399" s="50">
        <v>240.6</v>
      </c>
      <c r="AE4399" s="51">
        <v>15.11</v>
      </c>
      <c r="AF4399" s="52">
        <f t="shared" si="312"/>
        <v>0.82073553566097468</v>
      </c>
    </row>
    <row r="4400" spans="30:32">
      <c r="AD4400" s="50">
        <v>240.5</v>
      </c>
      <c r="AE4400" s="51">
        <v>15.641999999999999</v>
      </c>
      <c r="AF4400" s="52">
        <f t="shared" si="312"/>
        <v>0.80570771844802747</v>
      </c>
    </row>
    <row r="4401" spans="30:32">
      <c r="AD4401" s="50">
        <v>240.4</v>
      </c>
      <c r="AE4401" s="51">
        <v>16.033000000000001</v>
      </c>
      <c r="AF4401" s="52">
        <f t="shared" si="312"/>
        <v>0.79498520743099621</v>
      </c>
    </row>
    <row r="4402" spans="30:32">
      <c r="AD4402" s="50">
        <v>240.3</v>
      </c>
      <c r="AE4402" s="51">
        <v>16.350999999999999</v>
      </c>
      <c r="AF4402" s="52">
        <f t="shared" si="312"/>
        <v>0.78645568146233324</v>
      </c>
    </row>
    <row r="4403" spans="30:32">
      <c r="AD4403" s="50">
        <v>240.2</v>
      </c>
      <c r="AE4403" s="51">
        <v>16.562999999999999</v>
      </c>
      <c r="AF4403" s="52">
        <f t="shared" si="312"/>
        <v>0.78086099814019927</v>
      </c>
    </row>
    <row r="4404" spans="30:32">
      <c r="AD4404" s="50">
        <v>240.1</v>
      </c>
      <c r="AE4404" s="51">
        <v>16.733000000000001</v>
      </c>
      <c r="AF4404" s="52">
        <f t="shared" si="312"/>
        <v>0.77642618894531246</v>
      </c>
    </row>
    <row r="4405" spans="30:32">
      <c r="AD4405" s="50">
        <v>240</v>
      </c>
      <c r="AE4405" s="51">
        <v>16.829000000000001</v>
      </c>
      <c r="AF4405" s="52">
        <f t="shared" si="312"/>
        <v>0.77394168957288711</v>
      </c>
    </row>
    <row r="4406" spans="30:32">
      <c r="AD4406" s="50">
        <v>239.9</v>
      </c>
      <c r="AE4406" s="51">
        <v>16.888000000000002</v>
      </c>
      <c r="AF4406" s="52">
        <f t="shared" si="312"/>
        <v>0.77242177970039994</v>
      </c>
    </row>
    <row r="4407" spans="30:32">
      <c r="AD4407" s="50">
        <v>239.8</v>
      </c>
      <c r="AE4407" s="51">
        <v>16.957000000000001</v>
      </c>
      <c r="AF4407" s="52">
        <f t="shared" si="312"/>
        <v>0.77065097983229658</v>
      </c>
    </row>
    <row r="4408" spans="30:32">
      <c r="AD4408" s="50">
        <v>239.7</v>
      </c>
      <c r="AE4408" s="51">
        <v>16.97</v>
      </c>
      <c r="AF4408" s="52">
        <f t="shared" si="312"/>
        <v>0.77031815768232426</v>
      </c>
    </row>
    <row r="4409" spans="30:32">
      <c r="AD4409" s="50">
        <v>239.6</v>
      </c>
      <c r="AE4409" s="51">
        <v>16.98</v>
      </c>
      <c r="AF4409" s="52">
        <f t="shared" si="312"/>
        <v>0.77006231409206616</v>
      </c>
    </row>
    <row r="4410" spans="30:32">
      <c r="AD4410" s="50">
        <v>239.5</v>
      </c>
      <c r="AE4410" s="51">
        <v>16.928000000000001</v>
      </c>
      <c r="AF4410" s="52">
        <f t="shared" si="312"/>
        <v>0.77139434964490827</v>
      </c>
    </row>
    <row r="4411" spans="30:32">
      <c r="AD4411" s="50">
        <v>239.4</v>
      </c>
      <c r="AE4411" s="51">
        <v>16.888000000000002</v>
      </c>
      <c r="AF4411" s="52">
        <f t="shared" si="312"/>
        <v>0.77242177970039994</v>
      </c>
    </row>
    <row r="4412" spans="30:32">
      <c r="AD4412" s="50">
        <v>239.3</v>
      </c>
      <c r="AE4412" s="51">
        <v>16.84</v>
      </c>
      <c r="AF4412" s="52">
        <f t="shared" si="312"/>
        <v>0.77365791283636931</v>
      </c>
    </row>
    <row r="4413" spans="30:32">
      <c r="AD4413" s="50">
        <v>239.2</v>
      </c>
      <c r="AE4413" s="51">
        <v>16.795999999999999</v>
      </c>
      <c r="AF4413" s="52">
        <f t="shared" si="312"/>
        <v>0.77479413403409791</v>
      </c>
    </row>
    <row r="4414" spans="30:32">
      <c r="AD4414" s="50">
        <v>239.1</v>
      </c>
      <c r="AE4414" s="51">
        <v>16.733000000000001</v>
      </c>
      <c r="AF4414" s="52">
        <f t="shared" si="312"/>
        <v>0.77642618894531246</v>
      </c>
    </row>
    <row r="4415" spans="30:32">
      <c r="AD4415" s="50">
        <v>239</v>
      </c>
      <c r="AE4415" s="51">
        <v>16.667000000000002</v>
      </c>
      <c r="AF4415" s="52">
        <f t="shared" si="312"/>
        <v>0.77814256458086328</v>
      </c>
    </row>
    <row r="4416" spans="30:32">
      <c r="AD4416" s="50">
        <v>238.9</v>
      </c>
      <c r="AE4416" s="51">
        <v>16.605</v>
      </c>
      <c r="AF4416" s="52">
        <f t="shared" si="312"/>
        <v>0.77976112006559595</v>
      </c>
    </row>
    <row r="4417" spans="30:32">
      <c r="AD4417" s="50">
        <v>238.8</v>
      </c>
      <c r="AE4417" s="51">
        <v>16.53</v>
      </c>
      <c r="AF4417" s="52">
        <f t="shared" si="312"/>
        <v>0.78172714642855246</v>
      </c>
    </row>
    <row r="4418" spans="30:32">
      <c r="AD4418" s="50">
        <v>238.7</v>
      </c>
      <c r="AE4418" s="51">
        <v>16.475999999999999</v>
      </c>
      <c r="AF4418" s="52">
        <f t="shared" si="312"/>
        <v>0.78314821671562007</v>
      </c>
    </row>
    <row r="4419" spans="30:32">
      <c r="AD4419" s="50">
        <v>238.6</v>
      </c>
      <c r="AE4419" s="51">
        <v>16.396999999999998</v>
      </c>
      <c r="AF4419" s="52">
        <f t="shared" si="312"/>
        <v>0.78523560333196152</v>
      </c>
    </row>
    <row r="4420" spans="30:32">
      <c r="AD4420" s="50">
        <v>238.5</v>
      </c>
      <c r="AE4420" s="51">
        <v>16.369</v>
      </c>
      <c r="AF4420" s="52">
        <f t="shared" si="312"/>
        <v>0.7859778512995671</v>
      </c>
    </row>
    <row r="4421" spans="30:32">
      <c r="AD4421" s="50">
        <v>238.4</v>
      </c>
      <c r="AE4421" s="51">
        <v>16.315999999999999</v>
      </c>
      <c r="AF4421" s="52">
        <f t="shared" ref="AF4421:AF4484" si="313">-LOG(AE4421/100)</f>
        <v>0.78738630335494297</v>
      </c>
    </row>
    <row r="4422" spans="30:32">
      <c r="AD4422" s="50">
        <v>238.3</v>
      </c>
      <c r="AE4422" s="51">
        <v>16.27</v>
      </c>
      <c r="AF4422" s="52">
        <f t="shared" si="313"/>
        <v>0.78861244706314126</v>
      </c>
    </row>
    <row r="4423" spans="30:32">
      <c r="AD4423" s="50">
        <v>238.2</v>
      </c>
      <c r="AE4423" s="51">
        <v>16.231999999999999</v>
      </c>
      <c r="AF4423" s="52">
        <f t="shared" si="313"/>
        <v>0.78962796597471041</v>
      </c>
    </row>
    <row r="4424" spans="30:32">
      <c r="AD4424" s="50">
        <v>238.1</v>
      </c>
      <c r="AE4424" s="51">
        <v>16.198</v>
      </c>
      <c r="AF4424" s="52">
        <f t="shared" si="313"/>
        <v>0.79053860537001241</v>
      </c>
    </row>
    <row r="4425" spans="30:32">
      <c r="AD4425" s="50">
        <v>238</v>
      </c>
      <c r="AE4425" s="51">
        <v>16.163</v>
      </c>
      <c r="AF4425" s="52">
        <f t="shared" si="313"/>
        <v>0.79147802706856685</v>
      </c>
    </row>
    <row r="4426" spans="30:32">
      <c r="AD4426" s="50">
        <v>237.9</v>
      </c>
      <c r="AE4426" s="51">
        <v>16.131</v>
      </c>
      <c r="AF4426" s="52">
        <f t="shared" si="313"/>
        <v>0.79233870880321833</v>
      </c>
    </row>
    <row r="4427" spans="30:32">
      <c r="AD4427" s="50">
        <v>237.8</v>
      </c>
      <c r="AE4427" s="51">
        <v>16.106000000000002</v>
      </c>
      <c r="AF4427" s="52">
        <f t="shared" si="313"/>
        <v>0.79301230524359168</v>
      </c>
    </row>
    <row r="4428" spans="30:32">
      <c r="AD4428" s="50">
        <v>237.7</v>
      </c>
      <c r="AE4428" s="51">
        <v>16.085999999999999</v>
      </c>
      <c r="AF4428" s="52">
        <f t="shared" si="313"/>
        <v>0.79355193563347681</v>
      </c>
    </row>
    <row r="4429" spans="30:32">
      <c r="AD4429" s="50">
        <v>237.6</v>
      </c>
      <c r="AE4429" s="51">
        <v>16.05</v>
      </c>
      <c r="AF4429" s="52">
        <f t="shared" si="313"/>
        <v>0.79452496325910915</v>
      </c>
    </row>
    <row r="4430" spans="30:32">
      <c r="AD4430" s="50">
        <v>237.5</v>
      </c>
      <c r="AE4430" s="51">
        <v>16.001999999999999</v>
      </c>
      <c r="AF4430" s="52">
        <f t="shared" si="313"/>
        <v>0.79582573392648026</v>
      </c>
    </row>
    <row r="4431" spans="30:32">
      <c r="AD4431" s="50">
        <v>237.4</v>
      </c>
      <c r="AE4431" s="51">
        <v>15.978999999999999</v>
      </c>
      <c r="AF4431" s="52">
        <f t="shared" si="313"/>
        <v>0.79645040324925886</v>
      </c>
    </row>
    <row r="4432" spans="30:32">
      <c r="AD4432" s="50">
        <v>237.3</v>
      </c>
      <c r="AE4432" s="51">
        <v>15.901999999999999</v>
      </c>
      <c r="AF4432" s="52">
        <f t="shared" si="313"/>
        <v>0.79854825087828119</v>
      </c>
    </row>
    <row r="4433" spans="30:32">
      <c r="AD4433" s="50">
        <v>237.2</v>
      </c>
      <c r="AE4433" s="51">
        <v>15.864000000000001</v>
      </c>
      <c r="AF4433" s="52">
        <f t="shared" si="313"/>
        <v>0.7995872988027537</v>
      </c>
    </row>
    <row r="4434" spans="30:32">
      <c r="AD4434" s="50">
        <v>237.1</v>
      </c>
      <c r="AE4434" s="51">
        <v>15.801</v>
      </c>
      <c r="AF4434" s="52">
        <f t="shared" si="313"/>
        <v>0.80131542692285662</v>
      </c>
    </row>
    <row r="4435" spans="30:32">
      <c r="AD4435" s="50">
        <v>237</v>
      </c>
      <c r="AE4435" s="51">
        <v>15.752000000000001</v>
      </c>
      <c r="AF4435" s="52">
        <f t="shared" si="313"/>
        <v>0.80266429686993823</v>
      </c>
    </row>
    <row r="4436" spans="30:32">
      <c r="AD4436" s="50">
        <v>236.9</v>
      </c>
      <c r="AE4436" s="51">
        <v>15.683</v>
      </c>
      <c r="AF4436" s="52">
        <f t="shared" si="313"/>
        <v>0.80457085754293745</v>
      </c>
    </row>
    <row r="4437" spans="30:32">
      <c r="AD4437" s="50">
        <v>236.8</v>
      </c>
      <c r="AE4437" s="51">
        <v>15.587</v>
      </c>
      <c r="AF4437" s="52">
        <f t="shared" si="313"/>
        <v>0.80723746459431456</v>
      </c>
    </row>
    <row r="4438" spans="30:32">
      <c r="AD4438" s="50">
        <v>236.7</v>
      </c>
      <c r="AE4438" s="51">
        <v>15.507</v>
      </c>
      <c r="AF4438" s="52">
        <f t="shared" si="313"/>
        <v>0.80947221311264672</v>
      </c>
    </row>
    <row r="4439" spans="30:32">
      <c r="AD4439" s="50">
        <v>236.6</v>
      </c>
      <c r="AE4439" s="51">
        <v>15.430999999999999</v>
      </c>
      <c r="AF4439" s="52">
        <f t="shared" si="313"/>
        <v>0.81160592873857196</v>
      </c>
    </row>
    <row r="4440" spans="30:32">
      <c r="AD4440" s="50">
        <v>236.5</v>
      </c>
      <c r="AE4440" s="51">
        <v>15.353999999999999</v>
      </c>
      <c r="AF4440" s="52">
        <f t="shared" si="313"/>
        <v>0.81377846372917095</v>
      </c>
    </row>
    <row r="4441" spans="30:32">
      <c r="AD4441" s="50">
        <v>236.4</v>
      </c>
      <c r="AE4441" s="51">
        <v>15.266</v>
      </c>
      <c r="AF4441" s="52">
        <f t="shared" si="313"/>
        <v>0.81627474195442173</v>
      </c>
    </row>
    <row r="4442" spans="30:32">
      <c r="AD4442" s="50">
        <v>236.3</v>
      </c>
      <c r="AE4442" s="51">
        <v>15.180999999999999</v>
      </c>
      <c r="AF4442" s="52">
        <f t="shared" si="313"/>
        <v>0.81869961973317962</v>
      </c>
    </row>
    <row r="4443" spans="30:32">
      <c r="AD4443" s="50">
        <v>236.2</v>
      </c>
      <c r="AE4443" s="51">
        <v>15.085000000000001</v>
      </c>
      <c r="AF4443" s="52">
        <f t="shared" si="313"/>
        <v>0.8214546854889927</v>
      </c>
    </row>
    <row r="4444" spans="30:32">
      <c r="AD4444" s="50">
        <v>236.1</v>
      </c>
      <c r="AE4444" s="51">
        <v>14.986000000000001</v>
      </c>
      <c r="AF4444" s="52">
        <f t="shared" si="313"/>
        <v>0.82431427173791783</v>
      </c>
    </row>
    <row r="4445" spans="30:32">
      <c r="AD4445" s="50">
        <v>236</v>
      </c>
      <c r="AE4445" s="51">
        <v>14.923</v>
      </c>
      <c r="AF4445" s="52">
        <f t="shared" si="313"/>
        <v>0.82614386101373039</v>
      </c>
    </row>
    <row r="4446" spans="30:32">
      <c r="AD4446" s="50">
        <v>235.9</v>
      </c>
      <c r="AE4446" s="51">
        <v>14.840999999999999</v>
      </c>
      <c r="AF4446" s="52">
        <f t="shared" si="313"/>
        <v>0.82853683491615637</v>
      </c>
    </row>
    <row r="4447" spans="30:32">
      <c r="AD4447" s="50">
        <v>235.8</v>
      </c>
      <c r="AE4447" s="51">
        <v>14.744</v>
      </c>
      <c r="AF4447" s="52">
        <f t="shared" si="313"/>
        <v>0.83138467778898262</v>
      </c>
    </row>
    <row r="4448" spans="30:32">
      <c r="AD4448" s="50">
        <v>235.7</v>
      </c>
      <c r="AE4448" s="51">
        <v>14.662000000000001</v>
      </c>
      <c r="AF4448" s="52">
        <f t="shared" si="313"/>
        <v>0.83380678482993253</v>
      </c>
    </row>
    <row r="4449" spans="30:32">
      <c r="AD4449" s="50">
        <v>235.6</v>
      </c>
      <c r="AE4449" s="51">
        <v>14.565</v>
      </c>
      <c r="AF4449" s="52">
        <f t="shared" si="313"/>
        <v>0.83668951103631384</v>
      </c>
    </row>
    <row r="4450" spans="30:32">
      <c r="AD4450" s="50">
        <v>235.5</v>
      </c>
      <c r="AE4450" s="51">
        <v>14.491</v>
      </c>
      <c r="AF4450" s="52">
        <f t="shared" si="313"/>
        <v>0.83890164354907493</v>
      </c>
    </row>
    <row r="4451" spans="30:32">
      <c r="AD4451" s="50">
        <v>235.4</v>
      </c>
      <c r="AE4451" s="51">
        <v>14.371</v>
      </c>
      <c r="AF4451" s="52">
        <f t="shared" si="313"/>
        <v>0.84251301061515127</v>
      </c>
    </row>
    <row r="4452" spans="30:32">
      <c r="AD4452" s="50">
        <v>235.3</v>
      </c>
      <c r="AE4452" s="51">
        <v>14.291</v>
      </c>
      <c r="AF4452" s="52">
        <f t="shared" si="313"/>
        <v>0.84493738077607916</v>
      </c>
    </row>
    <row r="4453" spans="30:32">
      <c r="AD4453" s="50">
        <v>235.2</v>
      </c>
      <c r="AE4453" s="51">
        <v>14.215</v>
      </c>
      <c r="AF4453" s="52">
        <f t="shared" si="313"/>
        <v>0.84725313597353902</v>
      </c>
    </row>
    <row r="4454" spans="30:32">
      <c r="AD4454" s="50">
        <v>235.1</v>
      </c>
      <c r="AE4454" s="51">
        <v>14.13</v>
      </c>
      <c r="AF4454" s="52">
        <f t="shared" si="313"/>
        <v>0.84985783815144134</v>
      </c>
    </row>
    <row r="4455" spans="30:32">
      <c r="AD4455" s="50">
        <v>235</v>
      </c>
      <c r="AE4455" s="51">
        <v>14.035</v>
      </c>
      <c r="AF4455" s="52">
        <f t="shared" si="313"/>
        <v>0.85278758302954205</v>
      </c>
    </row>
    <row r="4456" spans="30:32">
      <c r="AD4456" s="50">
        <v>234.9</v>
      </c>
      <c r="AE4456" s="51">
        <v>13.946999999999999</v>
      </c>
      <c r="AF4456" s="52">
        <f t="shared" si="313"/>
        <v>0.85551919909725049</v>
      </c>
    </row>
    <row r="4457" spans="30:32">
      <c r="AD4457" s="50">
        <v>234.8</v>
      </c>
      <c r="AE4457" s="51">
        <v>13.839</v>
      </c>
      <c r="AF4457" s="52">
        <f t="shared" si="313"/>
        <v>0.85889529067207082</v>
      </c>
    </row>
    <row r="4458" spans="30:32">
      <c r="AD4458" s="50">
        <v>234.7</v>
      </c>
      <c r="AE4458" s="51">
        <v>13.754</v>
      </c>
      <c r="AF4458" s="52">
        <f t="shared" si="313"/>
        <v>0.86157097999399634</v>
      </c>
    </row>
    <row r="4459" spans="30:32">
      <c r="AD4459" s="50">
        <v>234.6</v>
      </c>
      <c r="AE4459" s="51">
        <v>13.675000000000001</v>
      </c>
      <c r="AF4459" s="52">
        <f t="shared" si="313"/>
        <v>0.86407266499453161</v>
      </c>
    </row>
    <row r="4460" spans="30:32">
      <c r="AD4460" s="50">
        <v>234.5</v>
      </c>
      <c r="AE4460" s="51">
        <v>13.573</v>
      </c>
      <c r="AF4460" s="52">
        <f t="shared" si="313"/>
        <v>0.86732415090703774</v>
      </c>
    </row>
    <row r="4461" spans="30:32">
      <c r="AD4461" s="50">
        <v>234.4</v>
      </c>
      <c r="AE4461" s="51">
        <v>13.500999999999999</v>
      </c>
      <c r="AF4461" s="52">
        <f t="shared" si="313"/>
        <v>0.86963406273479271</v>
      </c>
    </row>
    <row r="4462" spans="30:32">
      <c r="AD4462" s="50">
        <v>234.3</v>
      </c>
      <c r="AE4462" s="51">
        <v>13.387</v>
      </c>
      <c r="AF4462" s="52">
        <f t="shared" si="313"/>
        <v>0.87331673661170994</v>
      </c>
    </row>
    <row r="4463" spans="30:32">
      <c r="AD4463" s="50">
        <v>234.2</v>
      </c>
      <c r="AE4463" s="51">
        <v>13.29</v>
      </c>
      <c r="AF4463" s="52">
        <f t="shared" si="313"/>
        <v>0.87647501905726799</v>
      </c>
    </row>
    <row r="4464" spans="30:32">
      <c r="AD4464" s="50">
        <v>234.1</v>
      </c>
      <c r="AE4464" s="51">
        <v>13.222</v>
      </c>
      <c r="AF4464" s="52">
        <f t="shared" si="313"/>
        <v>0.8787028471750542</v>
      </c>
    </row>
    <row r="4465" spans="30:32">
      <c r="AD4465" s="50">
        <v>234</v>
      </c>
      <c r="AE4465" s="51">
        <v>13.154999999999999</v>
      </c>
      <c r="AF4465" s="52">
        <f t="shared" si="313"/>
        <v>0.88090914757827821</v>
      </c>
    </row>
    <row r="4466" spans="30:32">
      <c r="AD4466" s="50">
        <v>233.9</v>
      </c>
      <c r="AE4466" s="51">
        <v>13.068</v>
      </c>
      <c r="AF4466" s="52">
        <f t="shared" si="313"/>
        <v>0.8837908741966003</v>
      </c>
    </row>
    <row r="4467" spans="30:32">
      <c r="AD4467" s="50">
        <v>233.8</v>
      </c>
      <c r="AE4467" s="51">
        <v>13.002000000000001</v>
      </c>
      <c r="AF4467" s="52">
        <f t="shared" si="313"/>
        <v>0.88598983829653843</v>
      </c>
    </row>
    <row r="4468" spans="30:32">
      <c r="AD4468" s="50">
        <v>233.7</v>
      </c>
      <c r="AE4468" s="51">
        <v>12.93</v>
      </c>
      <c r="AF4468" s="52">
        <f t="shared" si="313"/>
        <v>0.88840147511960599</v>
      </c>
    </row>
    <row r="4469" spans="30:32">
      <c r="AD4469" s="50">
        <v>233.6</v>
      </c>
      <c r="AE4469" s="51">
        <v>12.865</v>
      </c>
      <c r="AF4469" s="52">
        <f t="shared" si="313"/>
        <v>0.89059020945363454</v>
      </c>
    </row>
    <row r="4470" spans="30:32">
      <c r="AD4470" s="50">
        <v>233.5</v>
      </c>
      <c r="AE4470" s="51">
        <v>12.778</v>
      </c>
      <c r="AF4470" s="52">
        <f t="shared" si="313"/>
        <v>0.89353711620387888</v>
      </c>
    </row>
    <row r="4471" spans="30:32">
      <c r="AD4471" s="50">
        <v>233.4</v>
      </c>
      <c r="AE4471" s="51">
        <v>12.677</v>
      </c>
      <c r="AF4471" s="52">
        <f t="shared" si="313"/>
        <v>0.89698350967168483</v>
      </c>
    </row>
    <row r="4472" spans="30:32">
      <c r="AD4472" s="50">
        <v>233.3</v>
      </c>
      <c r="AE4472" s="51">
        <v>12.621</v>
      </c>
      <c r="AF4472" s="52">
        <f t="shared" si="313"/>
        <v>0.89890623326334118</v>
      </c>
    </row>
    <row r="4473" spans="30:32">
      <c r="AD4473" s="50">
        <v>233.2</v>
      </c>
      <c r="AE4473" s="51">
        <v>12.561</v>
      </c>
      <c r="AF4473" s="52">
        <f t="shared" si="313"/>
        <v>0.90097578438910708</v>
      </c>
    </row>
    <row r="4474" spans="30:32">
      <c r="AD4474" s="50">
        <v>233.1</v>
      </c>
      <c r="AE4474" s="51">
        <v>12.504</v>
      </c>
      <c r="AF4474" s="52">
        <f t="shared" si="313"/>
        <v>0.90295103498886953</v>
      </c>
    </row>
    <row r="4475" spans="30:32">
      <c r="AD4475" s="50">
        <v>233</v>
      </c>
      <c r="AE4475" s="51">
        <v>12.414</v>
      </c>
      <c r="AF4475" s="52">
        <f t="shared" si="313"/>
        <v>0.90608825895062173</v>
      </c>
    </row>
    <row r="4476" spans="30:32">
      <c r="AD4476" s="50">
        <v>232.9</v>
      </c>
      <c r="AE4476" s="51">
        <v>12.348000000000001</v>
      </c>
      <c r="AF4476" s="52">
        <f t="shared" si="313"/>
        <v>0.90840337918994218</v>
      </c>
    </row>
    <row r="4477" spans="30:32">
      <c r="AD4477" s="50">
        <v>232.8</v>
      </c>
      <c r="AE4477" s="51">
        <v>12.27</v>
      </c>
      <c r="AF4477" s="52">
        <f t="shared" si="313"/>
        <v>0.91115543727299575</v>
      </c>
    </row>
    <row r="4478" spans="30:32">
      <c r="AD4478" s="50">
        <v>232.7</v>
      </c>
      <c r="AE4478" s="51">
        <v>12.204000000000001</v>
      </c>
      <c r="AF4478" s="52">
        <f t="shared" si="313"/>
        <v>0.91349780102963052</v>
      </c>
    </row>
    <row r="4479" spans="30:32">
      <c r="AD4479" s="50">
        <v>232.6</v>
      </c>
      <c r="AE4479" s="51">
        <v>12.124000000000001</v>
      </c>
      <c r="AF4479" s="52">
        <f t="shared" si="313"/>
        <v>0.91635407230441535</v>
      </c>
    </row>
    <row r="4480" spans="30:32">
      <c r="AD4480" s="50">
        <v>232.5</v>
      </c>
      <c r="AE4480" s="51">
        <v>12.066000000000001</v>
      </c>
      <c r="AF4480" s="52">
        <f t="shared" si="313"/>
        <v>0.91843667901961445</v>
      </c>
    </row>
    <row r="4481" spans="30:32">
      <c r="AD4481" s="50">
        <v>232.4</v>
      </c>
      <c r="AE4481" s="51">
        <v>11.992000000000001</v>
      </c>
      <c r="AF4481" s="52">
        <f t="shared" si="313"/>
        <v>0.92110838015977692</v>
      </c>
    </row>
    <row r="4482" spans="30:32">
      <c r="AD4482" s="50">
        <v>232.3</v>
      </c>
      <c r="AE4482" s="51">
        <v>11.904</v>
      </c>
      <c r="AF4482" s="52">
        <f t="shared" si="313"/>
        <v>0.92430708179819654</v>
      </c>
    </row>
    <row r="4483" spans="30:32">
      <c r="AD4483" s="50">
        <v>232.2</v>
      </c>
      <c r="AE4483" s="51">
        <v>11.818</v>
      </c>
      <c r="AF4483" s="52">
        <f t="shared" si="313"/>
        <v>0.92745601435635239</v>
      </c>
    </row>
    <row r="4484" spans="30:32">
      <c r="AD4484" s="50">
        <v>232.1</v>
      </c>
      <c r="AE4484" s="51">
        <v>11.752000000000001</v>
      </c>
      <c r="AF4484" s="52">
        <f t="shared" si="313"/>
        <v>0.92988821721779991</v>
      </c>
    </row>
    <row r="4485" spans="30:32">
      <c r="AD4485" s="50">
        <v>232</v>
      </c>
      <c r="AE4485" s="51">
        <v>11.67</v>
      </c>
      <c r="AF4485" s="52">
        <f t="shared" ref="AF4485:AF4505" si="314">-LOG(AE4485/100)</f>
        <v>0.93292914395462978</v>
      </c>
    </row>
    <row r="4486" spans="30:32">
      <c r="AD4486" s="50">
        <v>231.9</v>
      </c>
      <c r="AE4486" s="51">
        <v>11.619</v>
      </c>
      <c r="AF4486" s="52">
        <f t="shared" si="314"/>
        <v>0.93483124829425479</v>
      </c>
    </row>
    <row r="4487" spans="30:32">
      <c r="AD4487" s="50">
        <v>231.8</v>
      </c>
      <c r="AE4487" s="51">
        <v>11.555999999999999</v>
      </c>
      <c r="AF4487" s="52">
        <f t="shared" si="314"/>
        <v>0.93719246682784063</v>
      </c>
    </row>
    <row r="4488" spans="30:32">
      <c r="AD4488" s="50">
        <v>231.7</v>
      </c>
      <c r="AE4488" s="51">
        <v>11.478999999999999</v>
      </c>
      <c r="AF4488" s="52">
        <f t="shared" si="314"/>
        <v>0.94009594411559472</v>
      </c>
    </row>
    <row r="4489" spans="30:32">
      <c r="AD4489" s="50">
        <v>231.6</v>
      </c>
      <c r="AE4489" s="51">
        <v>11.406000000000001</v>
      </c>
      <c r="AF4489" s="52">
        <f t="shared" si="314"/>
        <v>0.9428666327509132</v>
      </c>
    </row>
    <row r="4490" spans="30:32">
      <c r="AD4490" s="50">
        <v>231.5</v>
      </c>
      <c r="AE4490" s="51">
        <v>11.321</v>
      </c>
      <c r="AF4490" s="52">
        <f t="shared" si="314"/>
        <v>0.94611520960530793</v>
      </c>
    </row>
    <row r="4491" spans="30:32">
      <c r="AD4491" s="50">
        <v>231.4</v>
      </c>
      <c r="AE4491" s="51">
        <v>11.252000000000001</v>
      </c>
      <c r="AF4491" s="52">
        <f t="shared" si="314"/>
        <v>0.94877027650683665</v>
      </c>
    </row>
    <row r="4492" spans="30:32">
      <c r="AD4492" s="50">
        <v>231.3</v>
      </c>
      <c r="AE4492" s="51">
        <v>11.191000000000001</v>
      </c>
      <c r="AF4492" s="52">
        <f t="shared" si="314"/>
        <v>0.95113110426006942</v>
      </c>
    </row>
    <row r="4493" spans="30:32">
      <c r="AD4493" s="50">
        <v>231.2</v>
      </c>
      <c r="AE4493" s="51">
        <v>11.106999999999999</v>
      </c>
      <c r="AF4493" s="52">
        <f t="shared" si="314"/>
        <v>0.95440322813242118</v>
      </c>
    </row>
    <row r="4494" spans="30:32">
      <c r="AD4494" s="50">
        <v>231.1</v>
      </c>
      <c r="AE4494" s="51">
        <v>11.044</v>
      </c>
      <c r="AF4494" s="52">
        <f t="shared" si="314"/>
        <v>0.95687360203277438</v>
      </c>
    </row>
    <row r="4495" spans="30:32">
      <c r="AD4495" s="50">
        <v>231</v>
      </c>
      <c r="AE4495" s="51">
        <v>10.98</v>
      </c>
      <c r="AF4495" s="52">
        <f t="shared" si="314"/>
        <v>0.95939765988592685</v>
      </c>
    </row>
    <row r="4496" spans="30:32">
      <c r="AD4496" s="50">
        <v>230.9</v>
      </c>
      <c r="AE4496" s="51">
        <v>10.903</v>
      </c>
      <c r="AF4496" s="52">
        <f t="shared" si="314"/>
        <v>0.96245398791417325</v>
      </c>
    </row>
    <row r="4497" spans="30:32">
      <c r="AD4497" s="50">
        <v>230.8</v>
      </c>
      <c r="AE4497" s="51">
        <v>10.83</v>
      </c>
      <c r="AF4497" s="52">
        <f t="shared" si="314"/>
        <v>0.96537154337467956</v>
      </c>
    </row>
    <row r="4498" spans="30:32">
      <c r="AD4498" s="50">
        <v>230.7</v>
      </c>
      <c r="AE4498" s="51">
        <v>10.755000000000001</v>
      </c>
      <c r="AF4498" s="52">
        <f t="shared" si="314"/>
        <v>0.96838958527651864</v>
      </c>
    </row>
    <row r="4499" spans="30:32">
      <c r="AD4499" s="50">
        <v>230.6</v>
      </c>
      <c r="AE4499" s="51">
        <v>10.686999999999999</v>
      </c>
      <c r="AF4499" s="52">
        <f t="shared" si="314"/>
        <v>0.97114419060955604</v>
      </c>
    </row>
    <row r="4500" spans="30:32">
      <c r="AD4500" s="50">
        <v>230.5</v>
      </c>
      <c r="AE4500" s="51">
        <v>10.622999999999999</v>
      </c>
      <c r="AF4500" s="52">
        <f t="shared" si="314"/>
        <v>0.9737528185222265</v>
      </c>
    </row>
    <row r="4501" spans="30:32">
      <c r="AD4501" s="50">
        <v>230.4</v>
      </c>
      <c r="AE4501" s="51">
        <v>10.547000000000001</v>
      </c>
      <c r="AF4501" s="52">
        <f t="shared" si="314"/>
        <v>0.97687105398950425</v>
      </c>
    </row>
    <row r="4502" spans="30:32">
      <c r="AD4502" s="50">
        <v>230.3</v>
      </c>
      <c r="AE4502" s="51">
        <v>10.47</v>
      </c>
      <c r="AF4502" s="52">
        <f t="shared" si="314"/>
        <v>0.98005331832115761</v>
      </c>
    </row>
    <row r="4503" spans="30:32">
      <c r="AD4503" s="50">
        <v>230.2</v>
      </c>
      <c r="AE4503" s="51">
        <v>10.4</v>
      </c>
      <c r="AF4503" s="52">
        <f t="shared" si="314"/>
        <v>0.98296666070121963</v>
      </c>
    </row>
    <row r="4504" spans="30:32">
      <c r="AD4504" s="50">
        <v>230.1</v>
      </c>
      <c r="AE4504" s="51">
        <v>10.327999999999999</v>
      </c>
      <c r="AF4504" s="52">
        <f t="shared" si="314"/>
        <v>0.98598377074163612</v>
      </c>
    </row>
    <row r="4505" spans="30:32">
      <c r="AD4505" s="50">
        <v>230</v>
      </c>
      <c r="AE4505" s="51">
        <v>10.242000000000001</v>
      </c>
      <c r="AF4505" s="52">
        <f t="shared" si="314"/>
        <v>0.98961522850162276</v>
      </c>
    </row>
  </sheetData>
  <sheetProtection insertColumns="0" insertRows="0" selectLockedCells="1" autoFilter="0" selectUnlockedCells="1"/>
  <mergeCells count="107">
    <mergeCell ref="D2:H3"/>
    <mergeCell ref="I2:L2"/>
    <mergeCell ref="I3:L3"/>
    <mergeCell ref="D4:F4"/>
    <mergeCell ref="G4:H4"/>
    <mergeCell ref="J4:L4"/>
    <mergeCell ref="D16:L16"/>
    <mergeCell ref="E5:F5"/>
    <mergeCell ref="G5:H5"/>
    <mergeCell ref="J5:L5"/>
    <mergeCell ref="D6:L6"/>
    <mergeCell ref="D7:L7"/>
    <mergeCell ref="E8:L8"/>
    <mergeCell ref="E9:J9"/>
    <mergeCell ref="D10:L10"/>
    <mergeCell ref="D11:L11"/>
    <mergeCell ref="E12:L12"/>
    <mergeCell ref="E13:J13"/>
    <mergeCell ref="D17:I17"/>
    <mergeCell ref="D18:I18"/>
    <mergeCell ref="J18:L18"/>
    <mergeCell ref="D19:E19"/>
    <mergeCell ref="F19:G19"/>
    <mergeCell ref="H19:I19"/>
    <mergeCell ref="K19:L19"/>
    <mergeCell ref="D20:E20"/>
    <mergeCell ref="F20:G20"/>
    <mergeCell ref="H20:I20"/>
    <mergeCell ref="K20:L20"/>
    <mergeCell ref="D21:E21"/>
    <mergeCell ref="F21:H21"/>
    <mergeCell ref="J21:L21"/>
    <mergeCell ref="D28:E28"/>
    <mergeCell ref="K28:L28"/>
    <mergeCell ref="D22:E22"/>
    <mergeCell ref="F22:H22"/>
    <mergeCell ref="J22:L22"/>
    <mergeCell ref="D23:E23"/>
    <mergeCell ref="F23:G23"/>
    <mergeCell ref="H23:I23"/>
    <mergeCell ref="J23:L23"/>
    <mergeCell ref="D24:E24"/>
    <mergeCell ref="F24:G24"/>
    <mergeCell ref="H24:I24"/>
    <mergeCell ref="J24:L24"/>
    <mergeCell ref="D27:L27"/>
    <mergeCell ref="D29:E29"/>
    <mergeCell ref="I29:J29"/>
    <mergeCell ref="K29:L29"/>
    <mergeCell ref="D30:E30"/>
    <mergeCell ref="I30:J30"/>
    <mergeCell ref="K30:L30"/>
    <mergeCell ref="D31:E31"/>
    <mergeCell ref="I31:J31"/>
    <mergeCell ref="K31:L31"/>
    <mergeCell ref="D32:E32"/>
    <mergeCell ref="I32:J32"/>
    <mergeCell ref="K32:L32"/>
    <mergeCell ref="D45:E45"/>
    <mergeCell ref="D33:E33"/>
    <mergeCell ref="I33:J33"/>
    <mergeCell ref="K33:L33"/>
    <mergeCell ref="D35:M35"/>
    <mergeCell ref="D36:E36"/>
    <mergeCell ref="K36:M36"/>
    <mergeCell ref="D37:E38"/>
    <mergeCell ref="D39:E40"/>
    <mergeCell ref="D42:L42"/>
    <mergeCell ref="D43:E43"/>
    <mergeCell ref="D44:E44"/>
    <mergeCell ref="AG229:AG230"/>
    <mergeCell ref="D46:E46"/>
    <mergeCell ref="D48:L48"/>
    <mergeCell ref="A50:S50"/>
    <mergeCell ref="AG54:AG55"/>
    <mergeCell ref="U55:AA55"/>
    <mergeCell ref="AG79:AG80"/>
    <mergeCell ref="AG104:AG105"/>
    <mergeCell ref="AG129:AG130"/>
    <mergeCell ref="AG154:AG155"/>
    <mergeCell ref="AG179:AG180"/>
    <mergeCell ref="AG204:AG205"/>
    <mergeCell ref="U80:AA80"/>
    <mergeCell ref="U130:AA130"/>
    <mergeCell ref="U155:AA155"/>
    <mergeCell ref="U180:AA180"/>
    <mergeCell ref="U105:AA105"/>
    <mergeCell ref="U205:AA205"/>
    <mergeCell ref="U230:AA230"/>
    <mergeCell ref="D408:F408"/>
    <mergeCell ref="I408:K408"/>
    <mergeCell ref="AG254:AG255"/>
    <mergeCell ref="AG279:AG280"/>
    <mergeCell ref="AG304:AG305"/>
    <mergeCell ref="AG330:AG331"/>
    <mergeCell ref="D359:R359"/>
    <mergeCell ref="U255:AA255"/>
    <mergeCell ref="U280:AA280"/>
    <mergeCell ref="U305:AA305"/>
    <mergeCell ref="U330:AA330"/>
    <mergeCell ref="D361:S361"/>
    <mergeCell ref="D403:L403"/>
    <mergeCell ref="D404:L404"/>
    <mergeCell ref="D405:L405"/>
    <mergeCell ref="U361:AC361"/>
    <mergeCell ref="V364:AA364"/>
    <mergeCell ref="V363:AC363"/>
  </mergeCells>
  <phoneticPr fontId="96" type="noConversion"/>
  <pageMargins left="0.511811024" right="0.511811024" top="0.78740157499999996" bottom="0.78740157499999996" header="0.31496062000000002" footer="0.31496062000000002"/>
  <pageSetup paperSize="9" scale="7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148"/>
  <sheetViews>
    <sheetView zoomScale="90" zoomScaleNormal="90" workbookViewId="0">
      <selection activeCell="B55" sqref="B55:AF55"/>
    </sheetView>
  </sheetViews>
  <sheetFormatPr defaultRowHeight="15"/>
  <cols>
    <col min="1" max="2" width="3.85546875" customWidth="1"/>
    <col min="3" max="3" width="4.42578125" customWidth="1"/>
    <col min="4" max="4" width="4.7109375" customWidth="1"/>
    <col min="5" max="5" width="4.85546875" customWidth="1"/>
    <col min="6" max="15" width="4.28515625" customWidth="1"/>
    <col min="16" max="16" width="5" customWidth="1"/>
    <col min="17" max="19" width="4.28515625" customWidth="1"/>
    <col min="20" max="21" width="3.85546875" customWidth="1"/>
    <col min="22" max="22" width="5.85546875" customWidth="1"/>
    <col min="23" max="23" width="4.28515625" customWidth="1"/>
    <col min="24" max="24" width="4" customWidth="1"/>
    <col min="25" max="26" width="3.85546875" customWidth="1"/>
    <col min="27" max="27" width="4.42578125" customWidth="1"/>
    <col min="28" max="33" width="3.85546875" customWidth="1"/>
    <col min="34" max="34" width="3.28515625" customWidth="1"/>
    <col min="35" max="45" width="3.85546875" customWidth="1"/>
    <col min="46" max="46" width="25.42578125" customWidth="1"/>
    <col min="47" max="47" width="31.5703125" customWidth="1"/>
    <col min="48" max="48" width="27.5703125" customWidth="1"/>
  </cols>
  <sheetData>
    <row r="1" spans="1:48" ht="25.5">
      <c r="A1" s="305"/>
      <c r="B1" s="305"/>
      <c r="C1" s="305"/>
      <c r="D1" s="305"/>
      <c r="E1" s="305"/>
      <c r="F1" s="305"/>
      <c r="G1" s="305"/>
      <c r="H1" s="305"/>
      <c r="I1" s="869" t="s">
        <v>195</v>
      </c>
      <c r="J1" s="869"/>
      <c r="K1" s="869"/>
      <c r="L1" s="869"/>
      <c r="M1" s="869"/>
      <c r="N1" s="869"/>
      <c r="O1" s="869"/>
      <c r="P1" s="869"/>
      <c r="Q1" s="869"/>
      <c r="R1" s="869"/>
      <c r="S1" s="869"/>
      <c r="T1" s="869"/>
      <c r="U1" s="869"/>
      <c r="V1" s="869"/>
      <c r="W1" s="869"/>
      <c r="X1" s="869"/>
      <c r="Y1" s="869"/>
      <c r="Z1" s="869"/>
      <c r="AA1" s="869"/>
      <c r="AB1" s="869"/>
      <c r="AC1" s="869"/>
      <c r="AD1" s="306"/>
      <c r="AE1" s="307"/>
      <c r="AF1" s="307"/>
      <c r="AG1" s="307"/>
      <c r="AH1" s="308"/>
      <c r="AI1" s="308"/>
      <c r="AJ1" s="309"/>
      <c r="AK1" s="309"/>
      <c r="AL1" s="309"/>
      <c r="AM1" s="309"/>
      <c r="AN1" s="309"/>
      <c r="AO1" s="309"/>
      <c r="AP1" s="309"/>
      <c r="AQ1" s="309"/>
    </row>
    <row r="2" spans="1:48" ht="25.5">
      <c r="A2" s="309"/>
      <c r="B2" s="309"/>
      <c r="C2" s="310"/>
      <c r="D2" s="310"/>
      <c r="E2" s="310"/>
      <c r="F2" s="310"/>
      <c r="G2" s="310"/>
      <c r="H2" s="310"/>
      <c r="I2" s="869"/>
      <c r="J2" s="869"/>
      <c r="K2" s="869"/>
      <c r="L2" s="869"/>
      <c r="M2" s="869"/>
      <c r="N2" s="869"/>
      <c r="O2" s="869"/>
      <c r="P2" s="869"/>
      <c r="Q2" s="869"/>
      <c r="R2" s="869"/>
      <c r="S2" s="869"/>
      <c r="T2" s="869"/>
      <c r="U2" s="869"/>
      <c r="V2" s="869"/>
      <c r="W2" s="869"/>
      <c r="X2" s="869"/>
      <c r="Y2" s="869"/>
      <c r="Z2" s="869"/>
      <c r="AA2" s="869"/>
      <c r="AB2" s="869"/>
      <c r="AC2" s="869"/>
      <c r="AD2" s="306"/>
      <c r="AE2" s="310"/>
      <c r="AF2" s="310"/>
      <c r="AG2" s="310"/>
      <c r="AH2" s="308"/>
      <c r="AI2" s="308"/>
      <c r="AJ2" s="309"/>
      <c r="AK2" s="309"/>
      <c r="AL2" s="309"/>
      <c r="AM2" s="309"/>
      <c r="AN2" s="309"/>
      <c r="AO2" s="309"/>
      <c r="AP2" s="309"/>
      <c r="AQ2" s="309"/>
    </row>
    <row r="3" spans="1:48">
      <c r="A3" s="311"/>
      <c r="B3" s="311"/>
      <c r="C3" s="311"/>
      <c r="D3" s="311"/>
      <c r="E3" s="311"/>
      <c r="F3" s="311"/>
      <c r="G3" s="311"/>
      <c r="H3" s="311"/>
      <c r="I3" s="310"/>
      <c r="J3" s="310"/>
      <c r="K3" s="311"/>
      <c r="L3" s="311"/>
      <c r="M3" s="311"/>
      <c r="N3" s="311"/>
      <c r="O3" s="311"/>
      <c r="P3" s="311"/>
      <c r="Q3" s="311"/>
      <c r="R3" s="311"/>
      <c r="S3" s="311"/>
      <c r="T3" s="311"/>
      <c r="U3" s="311"/>
      <c r="V3" s="311"/>
      <c r="W3" s="311"/>
      <c r="X3" s="311"/>
      <c r="Y3" s="311"/>
      <c r="Z3" s="311"/>
      <c r="AA3" s="311"/>
      <c r="AB3" s="311"/>
      <c r="AC3" s="311"/>
      <c r="AD3" s="312" t="s">
        <v>196</v>
      </c>
      <c r="AE3" s="311"/>
      <c r="AF3" s="309"/>
      <c r="AG3" s="312"/>
      <c r="AH3" s="311"/>
      <c r="AI3" s="311"/>
      <c r="AJ3" s="309"/>
      <c r="AK3" s="309"/>
      <c r="AL3" s="309"/>
      <c r="AM3" s="309"/>
      <c r="AN3" s="309"/>
      <c r="AO3" s="309"/>
      <c r="AP3" s="309"/>
      <c r="AQ3" s="309"/>
    </row>
    <row r="4" spans="1:48" ht="20.25">
      <c r="A4" s="313"/>
      <c r="B4" s="313"/>
      <c r="C4" s="964"/>
      <c r="D4" s="964"/>
      <c r="E4" s="964"/>
      <c r="F4" s="964"/>
      <c r="G4" s="314"/>
      <c r="H4" s="314"/>
      <c r="I4" s="315"/>
      <c r="J4" s="315"/>
      <c r="K4" s="316" t="s">
        <v>228</v>
      </c>
      <c r="L4" s="313"/>
      <c r="M4" s="315"/>
      <c r="N4" s="315"/>
      <c r="O4" s="315"/>
      <c r="P4" s="315"/>
      <c r="Q4" s="315"/>
      <c r="R4" s="315"/>
      <c r="S4" s="315"/>
      <c r="T4" s="315"/>
      <c r="U4" s="317"/>
      <c r="V4" s="318" t="s">
        <v>197</v>
      </c>
      <c r="W4" s="965" t="str">
        <f>'Registro Original'!$E$5</f>
        <v>2021-XXXXX GU</v>
      </c>
      <c r="X4" s="965"/>
      <c r="Y4" s="965"/>
      <c r="Z4" s="965"/>
      <c r="AA4" s="965"/>
      <c r="AB4" s="965"/>
      <c r="AC4" s="319"/>
      <c r="AD4" s="320">
        <v>0</v>
      </c>
      <c r="AE4" s="321"/>
      <c r="AF4" s="313"/>
      <c r="AG4" s="322"/>
      <c r="AH4" s="323"/>
      <c r="AI4" s="323"/>
      <c r="AJ4" s="313"/>
      <c r="AK4" s="313"/>
      <c r="AL4" s="313"/>
      <c r="AM4" s="313"/>
      <c r="AN4" s="313"/>
      <c r="AO4" s="313"/>
      <c r="AP4" s="313"/>
      <c r="AQ4" s="313"/>
    </row>
    <row r="5" spans="1:48" ht="5.25" customHeight="1">
      <c r="A5" s="324"/>
      <c r="B5" s="324"/>
      <c r="C5" s="324"/>
      <c r="D5" s="325"/>
      <c r="E5" s="325"/>
      <c r="F5" s="325"/>
      <c r="G5" s="325"/>
      <c r="H5" s="966" t="str">
        <f>IF(AD4&gt;0,"Este Certificado substitui na íntegra o anterior de mesmo número - REVISÃO","")</f>
        <v/>
      </c>
      <c r="I5" s="966"/>
      <c r="J5" s="966"/>
      <c r="K5" s="966"/>
      <c r="L5" s="966"/>
      <c r="M5" s="966"/>
      <c r="N5" s="966"/>
      <c r="O5" s="966"/>
      <c r="P5" s="966"/>
      <c r="Q5" s="966"/>
      <c r="R5" s="966"/>
      <c r="S5" s="966"/>
      <c r="T5" s="966"/>
      <c r="U5" s="966"/>
      <c r="V5" s="966"/>
      <c r="W5" s="966"/>
      <c r="X5" s="966"/>
      <c r="Y5" s="966"/>
      <c r="Z5" s="326" t="str">
        <f>IF(AD4&gt;0,AD4-1,"")</f>
        <v/>
      </c>
      <c r="AA5" s="325"/>
      <c r="AB5" s="325"/>
      <c r="AC5" s="325"/>
      <c r="AD5" s="327"/>
      <c r="AE5" s="327"/>
      <c r="AF5" s="309"/>
      <c r="AG5" s="328"/>
      <c r="AH5" s="323"/>
      <c r="AI5" s="323"/>
      <c r="AJ5" s="309"/>
      <c r="AK5" s="309"/>
      <c r="AL5" s="309"/>
      <c r="AM5" s="309"/>
      <c r="AN5" s="309"/>
      <c r="AO5" s="309"/>
      <c r="AP5" s="309"/>
      <c r="AQ5" s="309"/>
    </row>
    <row r="6" spans="1:48">
      <c r="A6" s="329" t="s">
        <v>198</v>
      </c>
      <c r="B6" s="329"/>
      <c r="C6" s="329"/>
      <c r="D6" s="330"/>
      <c r="E6" s="311"/>
      <c r="F6" s="959" t="str">
        <f>IF('Registro Original'!$D$7&lt;&gt;"", 'Registro Original'!$D$7, "")</f>
        <v>FURP - Fundação para o Remédio Popular</v>
      </c>
      <c r="G6" s="959"/>
      <c r="H6" s="959"/>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308"/>
      <c r="AI6" s="309"/>
      <c r="AJ6" s="309"/>
      <c r="AK6" s="309"/>
      <c r="AL6" s="309"/>
      <c r="AM6" s="309"/>
      <c r="AN6" s="309"/>
      <c r="AO6" s="309"/>
      <c r="AP6" s="309"/>
      <c r="AQ6" s="309"/>
    </row>
    <row r="7" spans="1:48">
      <c r="A7" s="958" t="s">
        <v>199</v>
      </c>
      <c r="B7" s="958"/>
      <c r="C7" s="958"/>
      <c r="D7" s="959" t="str">
        <f>IF('Registro Original'!$E$8&lt;&gt;"", CONCATENATE('Registro Original'!$E$8, " - ", 'Registro Original'!$E$9), "")</f>
        <v>Rua Endres, 35 - Guarulhos</v>
      </c>
      <c r="E7" s="959"/>
      <c r="F7" s="959"/>
      <c r="G7" s="959"/>
      <c r="H7" s="959"/>
      <c r="I7" s="959"/>
      <c r="J7" s="959"/>
      <c r="K7" s="959"/>
      <c r="L7" s="959"/>
      <c r="M7" s="959"/>
      <c r="N7" s="959"/>
      <c r="O7" s="959"/>
      <c r="P7" s="959"/>
      <c r="Q7" s="959"/>
      <c r="R7" s="959"/>
      <c r="S7" s="959"/>
      <c r="T7" s="959"/>
      <c r="U7" s="959"/>
      <c r="V7" s="959"/>
      <c r="W7" s="959"/>
      <c r="X7" s="959"/>
      <c r="Y7" s="959"/>
      <c r="Z7" s="959"/>
      <c r="AA7" s="959"/>
      <c r="AB7" s="305"/>
      <c r="AC7" s="331" t="s">
        <v>200</v>
      </c>
      <c r="AD7" s="960" t="str">
        <f>IF('Registro Original'!L9 &lt;&gt; "", 'Registro Original'!L9, "")</f>
        <v>07056-000</v>
      </c>
      <c r="AE7" s="960"/>
      <c r="AF7" s="960"/>
      <c r="AG7" s="960"/>
      <c r="AH7" s="309"/>
      <c r="AI7" s="309"/>
      <c r="AJ7" s="309"/>
      <c r="AK7" s="309"/>
      <c r="AL7" s="309"/>
      <c r="AM7" s="309"/>
      <c r="AN7" s="309"/>
      <c r="AO7" s="309"/>
      <c r="AP7" s="309"/>
      <c r="AQ7" s="309"/>
    </row>
    <row r="8" spans="1:48">
      <c r="A8" s="332" t="s">
        <v>201</v>
      </c>
      <c r="B8" s="332"/>
      <c r="C8" s="332"/>
      <c r="D8" s="319"/>
      <c r="E8" s="319"/>
      <c r="F8" s="959" t="str">
        <f>IF('Registro Original'!$D$11&lt;&gt;"", 'Registro Original'!$D$11, "")</f>
        <v/>
      </c>
      <c r="G8" s="959"/>
      <c r="H8" s="959"/>
      <c r="I8" s="959"/>
      <c r="J8" s="959"/>
      <c r="K8" s="959"/>
      <c r="L8" s="959"/>
      <c r="M8" s="959"/>
      <c r="N8" s="959"/>
      <c r="O8" s="959"/>
      <c r="P8" s="959"/>
      <c r="Q8" s="959"/>
      <c r="R8" s="959"/>
      <c r="S8" s="959"/>
      <c r="T8" s="959"/>
      <c r="U8" s="959"/>
      <c r="V8" s="959"/>
      <c r="W8" s="959"/>
      <c r="X8" s="959"/>
      <c r="Y8" s="959"/>
      <c r="Z8" s="959"/>
      <c r="AA8" s="959"/>
      <c r="AB8" s="959"/>
      <c r="AC8" s="959"/>
      <c r="AD8" s="959"/>
      <c r="AE8" s="959"/>
      <c r="AF8" s="959"/>
      <c r="AG8" s="959"/>
      <c r="AH8" s="308"/>
      <c r="AI8" s="309"/>
      <c r="AJ8" s="309"/>
      <c r="AK8" s="309"/>
      <c r="AL8" s="309"/>
      <c r="AM8" s="309"/>
      <c r="AN8" s="309"/>
      <c r="AO8" s="309"/>
      <c r="AP8" s="309"/>
      <c r="AQ8" s="309"/>
    </row>
    <row r="9" spans="1:48">
      <c r="A9" s="958" t="s">
        <v>199</v>
      </c>
      <c r="B9" s="958"/>
      <c r="C9" s="958"/>
      <c r="D9" s="959" t="str">
        <f>IF('Registro Original'!$E$8&lt;&gt;"", CONCATENATE('Registro Original'!$E$12, " - ", 'Registro Original'!$E$13), "")</f>
        <v xml:space="preserve"> - </v>
      </c>
      <c r="E9" s="959"/>
      <c r="F9" s="959"/>
      <c r="G9" s="959"/>
      <c r="H9" s="959"/>
      <c r="I9" s="959"/>
      <c r="J9" s="959"/>
      <c r="K9" s="959"/>
      <c r="L9" s="959"/>
      <c r="M9" s="959"/>
      <c r="N9" s="959"/>
      <c r="O9" s="959"/>
      <c r="P9" s="959"/>
      <c r="Q9" s="959"/>
      <c r="R9" s="959"/>
      <c r="S9" s="959"/>
      <c r="T9" s="959"/>
      <c r="U9" s="959"/>
      <c r="V9" s="959"/>
      <c r="W9" s="959"/>
      <c r="X9" s="959"/>
      <c r="Y9" s="959"/>
      <c r="Z9" s="959"/>
      <c r="AA9" s="959"/>
      <c r="AB9" s="305"/>
      <c r="AC9" s="331" t="s">
        <v>200</v>
      </c>
      <c r="AD9" s="960" t="str">
        <f>IF('Registro Original'!L13 &lt;&gt; "", 'Registro Original'!L13, "")</f>
        <v/>
      </c>
      <c r="AE9" s="960"/>
      <c r="AF9" s="960"/>
      <c r="AG9" s="960"/>
      <c r="AH9" s="309"/>
      <c r="AI9" s="309"/>
      <c r="AJ9" s="309"/>
      <c r="AK9" s="309"/>
      <c r="AL9" s="309"/>
      <c r="AM9" s="309"/>
      <c r="AN9" s="309"/>
      <c r="AO9" s="309"/>
      <c r="AP9" s="309"/>
      <c r="AQ9" s="309"/>
    </row>
    <row r="10" spans="1:48">
      <c r="A10" s="961" t="s">
        <v>202</v>
      </c>
      <c r="B10" s="961"/>
      <c r="C10" s="961"/>
      <c r="D10" s="961"/>
      <c r="E10" s="961"/>
      <c r="F10" s="961"/>
      <c r="G10" s="962" t="str">
        <f>IF('Registro Original'!$I$3&lt;&gt;"", 'Registro Original'!$I$3, "")</f>
        <v>XX/2021</v>
      </c>
      <c r="H10" s="962"/>
      <c r="I10" s="962"/>
      <c r="J10" s="962"/>
      <c r="K10" s="963" t="s">
        <v>203</v>
      </c>
      <c r="L10" s="963"/>
      <c r="M10" s="963"/>
      <c r="N10" s="963"/>
      <c r="O10" s="951" t="str">
        <f>IF('Registro Original'!$J$5&lt;&gt;"", 'Registro Original'!$J$5, "")</f>
        <v/>
      </c>
      <c r="P10" s="951"/>
      <c r="Q10" s="951"/>
      <c r="R10" s="951"/>
      <c r="S10" s="951"/>
      <c r="T10" s="963" t="s">
        <v>233</v>
      </c>
      <c r="U10" s="963"/>
      <c r="V10" s="963"/>
      <c r="W10" s="963"/>
      <c r="X10" s="951">
        <f>IF('Registro Original'!$I$4&lt;&gt;"", 'Registro Original'!$I$4, "")</f>
        <v>44410</v>
      </c>
      <c r="Y10" s="951"/>
      <c r="Z10" s="951"/>
      <c r="AA10" s="951"/>
      <c r="AB10" s="333"/>
      <c r="AC10" s="334" t="s">
        <v>204</v>
      </c>
      <c r="AD10" s="951">
        <f>IF('Registro Original'!$I$5 &lt;&gt; "", 'Registro Original'!$I$5, "")</f>
        <v>44434</v>
      </c>
      <c r="AE10" s="951"/>
      <c r="AF10" s="951"/>
      <c r="AG10" s="951"/>
      <c r="AH10" s="309"/>
      <c r="AI10" s="309"/>
      <c r="AJ10" s="309"/>
      <c r="AK10" s="309"/>
      <c r="AL10" s="309"/>
      <c r="AM10" s="309"/>
      <c r="AN10" s="309"/>
      <c r="AO10" s="309"/>
      <c r="AP10" s="309"/>
      <c r="AQ10" s="309"/>
    </row>
    <row r="11" spans="1:48">
      <c r="A11" s="335"/>
      <c r="B11" s="335"/>
      <c r="C11" s="335"/>
      <c r="D11" s="335"/>
      <c r="E11" s="335"/>
      <c r="F11" s="335"/>
      <c r="G11" s="335"/>
      <c r="H11" s="335"/>
      <c r="I11" s="335"/>
      <c r="J11" s="335"/>
      <c r="K11" s="335"/>
      <c r="L11" s="335"/>
      <c r="M11" s="335"/>
      <c r="N11" s="335"/>
      <c r="O11" s="335"/>
      <c r="P11" s="335"/>
      <c r="Q11" s="335"/>
      <c r="R11" s="335"/>
      <c r="S11" s="335"/>
      <c r="T11" s="335"/>
      <c r="U11" s="335"/>
      <c r="V11" s="335"/>
      <c r="W11" s="335"/>
      <c r="X11" s="335"/>
      <c r="Y11" s="335"/>
      <c r="Z11" s="335"/>
      <c r="AA11" s="335"/>
      <c r="AB11" s="335"/>
      <c r="AC11" s="334"/>
      <c r="AD11" s="336"/>
      <c r="AE11" s="336"/>
      <c r="AF11" s="336"/>
      <c r="AG11" s="336"/>
      <c r="AH11" s="309"/>
      <c r="AI11" s="309"/>
      <c r="AJ11" s="309"/>
      <c r="AK11" s="309"/>
      <c r="AL11" s="309"/>
      <c r="AM11" s="309"/>
      <c r="AN11" s="309"/>
      <c r="AO11" s="309"/>
      <c r="AP11" s="309"/>
      <c r="AQ11" s="309"/>
    </row>
    <row r="12" spans="1:48" ht="15.75">
      <c r="A12" s="952" t="s">
        <v>205</v>
      </c>
      <c r="B12" s="952"/>
      <c r="C12" s="952"/>
      <c r="D12" s="952"/>
      <c r="E12" s="952"/>
      <c r="F12" s="952"/>
      <c r="G12" s="952"/>
      <c r="H12" s="952"/>
      <c r="I12" s="952"/>
      <c r="J12" s="952"/>
      <c r="K12" s="952"/>
      <c r="L12" s="952"/>
      <c r="M12" s="952"/>
      <c r="N12" s="952"/>
      <c r="O12" s="952"/>
      <c r="P12" s="952"/>
      <c r="Q12" s="952"/>
      <c r="R12" s="952"/>
      <c r="S12" s="952"/>
      <c r="T12" s="952"/>
      <c r="U12" s="952"/>
      <c r="V12" s="952"/>
      <c r="W12" s="952"/>
      <c r="X12" s="952"/>
      <c r="Y12" s="952"/>
      <c r="Z12" s="952"/>
      <c r="AA12" s="952"/>
      <c r="AB12" s="952"/>
      <c r="AC12" s="952"/>
      <c r="AD12" s="952"/>
      <c r="AE12" s="952"/>
      <c r="AF12" s="952"/>
      <c r="AG12" s="952"/>
      <c r="AH12" s="337"/>
      <c r="AI12" s="338"/>
      <c r="AJ12" s="309"/>
      <c r="AK12" s="309"/>
      <c r="AL12" s="309"/>
      <c r="AM12" s="309"/>
      <c r="AN12" s="309"/>
      <c r="AO12" s="309"/>
      <c r="AP12" s="309"/>
      <c r="AQ12" s="309"/>
    </row>
    <row r="13" spans="1:48" ht="16.5" thickBot="1">
      <c r="A13" s="339"/>
      <c r="B13" s="339"/>
      <c r="C13" s="339"/>
      <c r="D13" s="339"/>
      <c r="E13" s="339"/>
      <c r="F13" s="339"/>
      <c r="G13" s="339"/>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7"/>
      <c r="AI13" s="338"/>
      <c r="AJ13" s="309"/>
      <c r="AL13" s="309"/>
      <c r="AM13" s="309"/>
      <c r="AN13" s="309"/>
      <c r="AO13" s="309"/>
      <c r="AP13" s="309"/>
      <c r="AQ13" s="309"/>
    </row>
    <row r="14" spans="1:48">
      <c r="A14" s="953" t="s">
        <v>206</v>
      </c>
      <c r="B14" s="954"/>
      <c r="C14" s="954"/>
      <c r="D14" s="957" t="str">
        <f>IF('Registro Original'!$D$18 &lt;&gt; "", 'Registro Original'!$D$18, "")</f>
        <v>Espectrofotômetro</v>
      </c>
      <c r="E14" s="957"/>
      <c r="F14" s="957"/>
      <c r="G14" s="957"/>
      <c r="H14" s="957"/>
      <c r="I14" s="957"/>
      <c r="J14" s="957"/>
      <c r="K14" s="957"/>
      <c r="L14" s="452"/>
      <c r="M14" s="340"/>
      <c r="N14" s="954" t="s">
        <v>237</v>
      </c>
      <c r="O14" s="954"/>
      <c r="P14" s="954"/>
      <c r="Q14" s="955" t="str">
        <f>IF('Registro Original'!$K$20&lt;&gt;"", 'Registro Original'!$K$20, "")</f>
        <v/>
      </c>
      <c r="R14" s="955"/>
      <c r="S14" s="955"/>
      <c r="T14" s="955"/>
      <c r="U14" s="955"/>
      <c r="V14" s="955"/>
      <c r="W14" s="341"/>
      <c r="X14" s="445"/>
      <c r="Y14" s="444"/>
      <c r="Z14" s="445"/>
      <c r="AA14" s="430" t="s">
        <v>18</v>
      </c>
      <c r="AB14" s="956" t="str">
        <f>IF('Registro Original'!J24&lt;&gt;"", 'Registro Original'!J24, "")</f>
        <v>AIB00010-0</v>
      </c>
      <c r="AC14" s="956"/>
      <c r="AD14" s="956"/>
      <c r="AE14" s="956"/>
      <c r="AF14" s="956"/>
      <c r="AG14" s="342"/>
      <c r="AH14" s="343"/>
      <c r="AI14" s="344"/>
      <c r="AJ14" s="309"/>
      <c r="AK14" s="309"/>
      <c r="AL14" s="309"/>
      <c r="AM14" s="309"/>
      <c r="AN14" s="309"/>
      <c r="AO14" s="309"/>
      <c r="AP14" s="309"/>
      <c r="AQ14" s="309"/>
    </row>
    <row r="15" spans="1:48">
      <c r="A15" s="943" t="s">
        <v>207</v>
      </c>
      <c r="B15" s="944"/>
      <c r="C15" s="944"/>
      <c r="D15" s="946" t="str">
        <f>IF('Registro Original'!D20&lt;&gt;"", 'Registro Original'!D20, "")</f>
        <v>Micronal</v>
      </c>
      <c r="E15" s="946"/>
      <c r="F15" s="946"/>
      <c r="G15" s="946"/>
      <c r="H15" s="946"/>
      <c r="I15" s="946"/>
      <c r="J15" s="946"/>
      <c r="K15" s="946"/>
      <c r="L15" s="413"/>
      <c r="M15" s="310"/>
      <c r="N15" s="945" t="s">
        <v>10</v>
      </c>
      <c r="O15" s="945"/>
      <c r="P15" s="945"/>
      <c r="Q15" s="946" t="str">
        <f>IF('Registro Original'!F20 &lt;&gt; "", 'Registro Original'!F20, "")</f>
        <v>AJS-1000</v>
      </c>
      <c r="R15" s="946"/>
      <c r="S15" s="946"/>
      <c r="T15" s="946"/>
      <c r="U15" s="946"/>
      <c r="V15" s="946"/>
      <c r="W15" s="310"/>
      <c r="X15" s="310"/>
      <c r="Y15" s="945" t="s">
        <v>208</v>
      </c>
      <c r="Z15" s="945"/>
      <c r="AA15" s="945"/>
      <c r="AB15" s="947" t="str">
        <f>IF('Registro Original'!K19&lt;&gt;"", 'Registro Original'!K19, "")</f>
        <v/>
      </c>
      <c r="AC15" s="947"/>
      <c r="AD15" s="947"/>
      <c r="AE15" s="947"/>
      <c r="AF15" s="947"/>
      <c r="AG15" s="345"/>
      <c r="AH15" s="309"/>
      <c r="AI15" s="309"/>
      <c r="AJ15" s="309"/>
      <c r="AK15" s="309"/>
      <c r="AL15" s="309"/>
      <c r="AM15" s="309"/>
      <c r="AN15" s="309"/>
      <c r="AO15" s="309"/>
      <c r="AP15" s="309"/>
      <c r="AQ15" s="309"/>
    </row>
    <row r="16" spans="1:48">
      <c r="A16" s="938" t="s">
        <v>250</v>
      </c>
      <c r="B16" s="939"/>
      <c r="C16" s="939"/>
      <c r="D16" s="942" t="s">
        <v>251</v>
      </c>
      <c r="E16" s="942"/>
      <c r="F16" s="942"/>
      <c r="G16" s="942"/>
      <c r="H16" s="942"/>
      <c r="I16" s="942"/>
      <c r="J16" s="942"/>
      <c r="K16" s="942"/>
      <c r="L16" s="72"/>
      <c r="M16" s="319"/>
      <c r="N16" s="454" t="s">
        <v>262</v>
      </c>
      <c r="Q16" s="948" t="str">
        <f>IF(AND('Registro Original'!D24&lt;&gt;"", 'Registro Original'!F24&lt;&gt;""), CONCATENATE('Registro Original'!D24, " nm", " a ", 'Registro Original'!F24, " nm"), "")</f>
        <v>325 nm a 1000 nm</v>
      </c>
      <c r="R16" s="948"/>
      <c r="S16" s="948"/>
      <c r="T16" s="948"/>
      <c r="U16" s="948"/>
      <c r="V16" s="948"/>
      <c r="W16" s="346"/>
      <c r="X16" s="945" t="s">
        <v>265</v>
      </c>
      <c r="Y16" s="945"/>
      <c r="Z16" s="945"/>
      <c r="AA16" s="945"/>
      <c r="AB16" s="937" t="str">
        <f>IF('Registro Original'!G45&lt;&gt;"", CONCATENATE('Registro Original'!G45, " nm"), "")</f>
        <v>1 nm</v>
      </c>
      <c r="AC16" s="937"/>
      <c r="AD16" s="937"/>
      <c r="AE16" s="937"/>
      <c r="AF16" s="937"/>
      <c r="AG16" s="347"/>
      <c r="AH16" s="348"/>
      <c r="AI16" s="343"/>
      <c r="AJ16" s="343"/>
      <c r="AK16" s="349"/>
      <c r="AL16" s="349"/>
      <c r="AM16" s="349"/>
      <c r="AN16" s="350"/>
      <c r="AO16" s="349"/>
      <c r="AP16" s="351"/>
      <c r="AQ16" s="351"/>
      <c r="AT16" s="29" t="s">
        <v>259</v>
      </c>
      <c r="AU16" s="29" t="s">
        <v>257</v>
      </c>
      <c r="AV16" s="29" t="s">
        <v>255</v>
      </c>
    </row>
    <row r="17" spans="1:48">
      <c r="A17" s="940" t="s">
        <v>258</v>
      </c>
      <c r="B17" s="941"/>
      <c r="C17" s="941"/>
      <c r="D17" s="949" t="s">
        <v>254</v>
      </c>
      <c r="E17" s="949"/>
      <c r="F17" s="949"/>
      <c r="G17" s="949"/>
      <c r="H17" s="949"/>
      <c r="I17" s="949"/>
      <c r="J17" s="949"/>
      <c r="K17" s="949"/>
      <c r="L17" s="950" t="s">
        <v>256</v>
      </c>
      <c r="M17" s="950"/>
      <c r="N17" s="950"/>
      <c r="O17" s="950"/>
      <c r="P17" s="950"/>
      <c r="Q17" s="946">
        <v>5</v>
      </c>
      <c r="R17" s="946"/>
      <c r="S17" s="946"/>
      <c r="T17" s="946"/>
      <c r="U17" s="946"/>
      <c r="V17" s="946"/>
      <c r="W17" s="352"/>
      <c r="X17" s="945" t="s">
        <v>266</v>
      </c>
      <c r="Y17" s="945"/>
      <c r="Z17" s="945"/>
      <c r="AA17" s="945"/>
      <c r="AB17" s="937" t="str">
        <f>IF('Registro Original'!G46&lt;&gt; "", CONCATENATE('Registro Original'!G46, " A"), "")</f>
        <v>0,001 A</v>
      </c>
      <c r="AC17" s="937"/>
      <c r="AD17" s="937"/>
      <c r="AE17" s="937"/>
      <c r="AF17" s="937"/>
      <c r="AG17" s="354"/>
      <c r="AH17" s="355"/>
      <c r="AI17" s="355"/>
      <c r="AJ17" s="355"/>
      <c r="AK17" s="355"/>
      <c r="AL17" s="355"/>
      <c r="AM17" s="355"/>
      <c r="AN17" s="309"/>
      <c r="AO17" s="309"/>
      <c r="AP17" s="309"/>
      <c r="AQ17" s="309"/>
      <c r="AT17" t="s">
        <v>251</v>
      </c>
      <c r="AU17" t="s">
        <v>254</v>
      </c>
      <c r="AV17" s="453">
        <v>0.5</v>
      </c>
    </row>
    <row r="18" spans="1:48">
      <c r="A18" s="536"/>
      <c r="B18" s="22"/>
      <c r="C18" s="22"/>
      <c r="L18" s="413"/>
      <c r="M18" s="353"/>
      <c r="N18" s="414"/>
      <c r="O18" s="352"/>
      <c r="P18" s="352"/>
      <c r="Q18" s="352"/>
      <c r="R18" s="352"/>
      <c r="S18" s="352"/>
      <c r="T18" s="352"/>
      <c r="U18" s="352"/>
      <c r="V18" s="352"/>
      <c r="W18" s="352"/>
      <c r="AB18" s="352"/>
      <c r="AC18" s="352"/>
      <c r="AD18" s="352"/>
      <c r="AE18" s="352"/>
      <c r="AF18" s="352"/>
      <c r="AG18" s="354"/>
      <c r="AH18" s="355"/>
      <c r="AI18" s="355"/>
      <c r="AJ18" s="355"/>
      <c r="AK18" s="355"/>
      <c r="AL18" s="355"/>
      <c r="AM18" s="355"/>
      <c r="AN18" s="309"/>
      <c r="AO18" s="309"/>
      <c r="AP18" s="309"/>
      <c r="AQ18" s="309"/>
      <c r="AT18" t="s">
        <v>252</v>
      </c>
      <c r="AU18" t="s">
        <v>253</v>
      </c>
      <c r="AV18" s="453">
        <v>1</v>
      </c>
    </row>
    <row r="19" spans="1:48" ht="15.75" thickBot="1">
      <c r="A19" s="932" t="s">
        <v>209</v>
      </c>
      <c r="B19" s="933"/>
      <c r="C19" s="933"/>
      <c r="D19" s="935" t="str">
        <f>IF('Registro Original'!F22&lt;&gt;"", 'Registro Original'!F22, "")</f>
        <v>Visomes</v>
      </c>
      <c r="E19" s="935"/>
      <c r="F19" s="935"/>
      <c r="G19" s="935"/>
      <c r="H19" s="935"/>
      <c r="I19" s="935"/>
      <c r="J19" s="935"/>
      <c r="K19" s="935"/>
      <c r="L19" s="935"/>
      <c r="M19" s="356"/>
      <c r="N19" s="934" t="s">
        <v>210</v>
      </c>
      <c r="O19" s="934"/>
      <c r="P19" s="934"/>
      <c r="Q19" s="935" t="str">
        <f>IF('Registro Original'!J21&lt;&gt;"", 'Registro Original'!J21, "")</f>
        <v>Laboratório de Óptica</v>
      </c>
      <c r="R19" s="935"/>
      <c r="S19" s="935"/>
      <c r="T19" s="935"/>
      <c r="U19" s="935"/>
      <c r="V19" s="935"/>
      <c r="W19" s="357"/>
      <c r="X19" s="357"/>
      <c r="Y19" s="931" t="s">
        <v>211</v>
      </c>
      <c r="Z19" s="931"/>
      <c r="AA19" s="936" t="str">
        <f>IF('Registro Original'!J22&lt;&gt;"", 'Registro Original'!J22, "")</f>
        <v/>
      </c>
      <c r="AB19" s="936"/>
      <c r="AC19" s="936"/>
      <c r="AD19" s="936"/>
      <c r="AE19" s="936"/>
      <c r="AF19" s="936"/>
      <c r="AG19" s="358"/>
      <c r="AH19" s="359"/>
      <c r="AI19" s="305"/>
      <c r="AJ19" s="305"/>
      <c r="AK19" s="305"/>
      <c r="AL19" s="305"/>
      <c r="AM19" s="305"/>
      <c r="AN19" s="305"/>
      <c r="AO19" s="305"/>
      <c r="AP19" s="309"/>
      <c r="AQ19" s="309"/>
      <c r="AV19" s="453">
        <v>2</v>
      </c>
    </row>
    <row r="20" spans="1:48">
      <c r="A20" s="360"/>
      <c r="B20" s="360"/>
      <c r="C20" s="360"/>
      <c r="D20" s="360"/>
      <c r="E20" s="360"/>
      <c r="F20" s="360"/>
      <c r="G20" s="360"/>
      <c r="H20" s="360"/>
      <c r="I20" s="360"/>
      <c r="J20" s="360"/>
      <c r="K20" s="360"/>
      <c r="L20" s="360"/>
      <c r="M20" s="360"/>
      <c r="N20" s="360"/>
      <c r="O20" s="360"/>
      <c r="P20" s="360"/>
      <c r="Q20" s="360"/>
      <c r="R20" s="360"/>
      <c r="S20" s="360"/>
      <c r="T20" s="360"/>
      <c r="U20" s="360"/>
      <c r="V20" s="360"/>
      <c r="W20" s="360"/>
      <c r="X20" s="360"/>
      <c r="Y20" s="360"/>
      <c r="Z20" s="360"/>
      <c r="AA20" s="360"/>
      <c r="AB20" s="360"/>
      <c r="AC20" s="360"/>
      <c r="AD20" s="360"/>
      <c r="AE20" s="360"/>
      <c r="AF20" s="360"/>
      <c r="AG20" s="360"/>
      <c r="AH20" s="319"/>
      <c r="AI20" s="308"/>
      <c r="AJ20" s="308"/>
      <c r="AK20" s="308"/>
      <c r="AL20" s="308"/>
      <c r="AM20" s="308"/>
      <c r="AN20" s="308"/>
      <c r="AO20" s="308"/>
      <c r="AP20" s="309"/>
      <c r="AQ20" s="309"/>
      <c r="AV20" s="453">
        <v>3</v>
      </c>
    </row>
    <row r="21" spans="1:48" ht="16.5" thickBot="1">
      <c r="A21" s="928" t="s">
        <v>19</v>
      </c>
      <c r="B21" s="928"/>
      <c r="C21" s="928"/>
      <c r="D21" s="928"/>
      <c r="E21" s="928"/>
      <c r="F21" s="928"/>
      <c r="G21" s="928"/>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361"/>
      <c r="AI21" s="361"/>
      <c r="AJ21" s="361"/>
      <c r="AK21" s="361"/>
      <c r="AL21" s="361"/>
      <c r="AM21" s="361"/>
      <c r="AN21" s="361"/>
      <c r="AO21" s="361"/>
      <c r="AP21" s="361"/>
      <c r="AQ21" s="361"/>
      <c r="AV21" s="453">
        <v>4</v>
      </c>
    </row>
    <row r="22" spans="1:48" ht="15.75">
      <c r="A22" s="362"/>
      <c r="B22" s="363"/>
      <c r="C22" s="363"/>
      <c r="D22" s="363"/>
      <c r="E22" s="363"/>
      <c r="F22" s="363"/>
      <c r="G22" s="363"/>
      <c r="H22" s="363"/>
      <c r="I22" s="363"/>
      <c r="J22" s="363"/>
      <c r="K22" s="363"/>
      <c r="L22" s="363"/>
      <c r="M22" s="363"/>
      <c r="N22" s="363"/>
      <c r="O22" s="363"/>
      <c r="P22" s="363"/>
      <c r="Q22" s="363"/>
      <c r="R22" s="363"/>
      <c r="S22" s="363"/>
      <c r="T22" s="363"/>
      <c r="U22" s="363"/>
      <c r="V22" s="363"/>
      <c r="W22" s="363"/>
      <c r="X22" s="363"/>
      <c r="Y22" s="363"/>
      <c r="Z22" s="363"/>
      <c r="AA22" s="363"/>
      <c r="AB22" s="363"/>
      <c r="AC22" s="363"/>
      <c r="AD22" s="363"/>
      <c r="AE22" s="363"/>
      <c r="AF22" s="363"/>
      <c r="AG22" s="364"/>
      <c r="AH22" s="361"/>
      <c r="AI22" s="361"/>
      <c r="AJ22" s="361"/>
      <c r="AK22" s="361"/>
      <c r="AL22" s="361"/>
      <c r="AM22" s="361"/>
      <c r="AN22" s="361"/>
      <c r="AO22" s="361"/>
      <c r="AP22" s="361"/>
      <c r="AQ22" s="361"/>
      <c r="AV22" s="453">
        <v>5</v>
      </c>
    </row>
    <row r="23" spans="1:48">
      <c r="A23" s="365"/>
      <c r="B23" s="929" t="s">
        <v>102</v>
      </c>
      <c r="C23" s="929"/>
      <c r="D23" s="929"/>
      <c r="E23" s="929"/>
      <c r="F23" s="929"/>
      <c r="G23" s="929"/>
      <c r="H23" s="930" t="s">
        <v>212</v>
      </c>
      <c r="I23" s="930"/>
      <c r="J23" s="930"/>
      <c r="K23" s="366"/>
      <c r="L23" s="929" t="s">
        <v>213</v>
      </c>
      <c r="M23" s="929"/>
      <c r="N23" s="929"/>
      <c r="O23" s="929"/>
      <c r="P23" s="929"/>
      <c r="Q23" s="929"/>
      <c r="R23" s="367"/>
      <c r="S23" s="929" t="s">
        <v>214</v>
      </c>
      <c r="T23" s="929"/>
      <c r="U23" s="929"/>
      <c r="V23" s="929"/>
      <c r="W23" s="929"/>
      <c r="X23" s="929"/>
      <c r="Y23" s="366"/>
      <c r="Z23" s="929" t="s">
        <v>246</v>
      </c>
      <c r="AA23" s="929"/>
      <c r="AB23" s="929"/>
      <c r="AC23" s="366"/>
      <c r="AD23" s="366"/>
      <c r="AE23" s="366"/>
      <c r="AF23" s="366"/>
      <c r="AG23" s="368"/>
      <c r="AH23" s="367"/>
      <c r="AI23" s="367"/>
      <c r="AJ23" s="367"/>
      <c r="AK23" s="367"/>
      <c r="AL23" s="367"/>
      <c r="AM23" s="367"/>
      <c r="AN23" s="367"/>
      <c r="AO23" s="367"/>
      <c r="AP23" s="367"/>
      <c r="AQ23" s="367"/>
      <c r="AV23" s="453">
        <v>6</v>
      </c>
    </row>
    <row r="24" spans="1:48">
      <c r="A24" s="907" t="str">
        <f>'Registro Original'!D29</f>
        <v>Filtro de comprimento de onda</v>
      </c>
      <c r="B24" s="908"/>
      <c r="C24" s="908"/>
      <c r="D24" s="908"/>
      <c r="E24" s="908"/>
      <c r="F24" s="908"/>
      <c r="G24" s="927" t="s">
        <v>20</v>
      </c>
      <c r="H24" s="927"/>
      <c r="I24" s="910">
        <f>IF('Registro Original'!F29&lt;&gt;"", 'Registro Original'!F29, "")</f>
        <v>203</v>
      </c>
      <c r="J24" s="910"/>
      <c r="K24" s="309"/>
      <c r="L24" s="911" t="str">
        <f>IF('Registro Original'!I29&lt;&gt;"", 'Registro Original'!I29, "")</f>
        <v>Visomes (CAL 0127)</v>
      </c>
      <c r="M24" s="911"/>
      <c r="N24" s="911"/>
      <c r="O24" s="911"/>
      <c r="P24" s="911"/>
      <c r="Q24" s="911"/>
      <c r="R24" s="309"/>
      <c r="S24" s="912" t="str">
        <f>IF('Registro Original'!K29&lt;&gt;"", 'Registro Original'!K29, "")</f>
        <v>LV04397-47489-20-R0</v>
      </c>
      <c r="T24" s="912"/>
      <c r="U24" s="912"/>
      <c r="V24" s="912"/>
      <c r="W24" s="912"/>
      <c r="X24" s="912"/>
      <c r="Y24" s="309"/>
      <c r="Z24" s="913">
        <f>IF('Registro Original'!M29&lt;&gt;"", 'Registro Original'!M29, "")</f>
        <v>44927</v>
      </c>
      <c r="AA24" s="913"/>
      <c r="AB24" s="913"/>
      <c r="AC24" s="366"/>
      <c r="AD24" s="366"/>
      <c r="AE24" s="366"/>
      <c r="AF24" s="366"/>
      <c r="AG24" s="369"/>
      <c r="AH24" s="893"/>
      <c r="AI24" s="892"/>
      <c r="AJ24" s="892"/>
      <c r="AK24" s="892"/>
      <c r="AL24" s="892"/>
      <c r="AM24" s="892"/>
      <c r="AN24" s="892"/>
      <c r="AO24" s="892"/>
      <c r="AP24" s="892"/>
      <c r="AQ24" s="892"/>
      <c r="AV24" s="453">
        <v>7</v>
      </c>
    </row>
    <row r="25" spans="1:48">
      <c r="A25" s="907" t="str">
        <f>CONCATENATE('Registro Original'!D30," ",'Registro Original'!H30," A")</f>
        <v>Filtro de absorbância 1 A</v>
      </c>
      <c r="B25" s="908"/>
      <c r="C25" s="908"/>
      <c r="D25" s="908"/>
      <c r="E25" s="908"/>
      <c r="F25" s="908"/>
      <c r="G25" s="927" t="s">
        <v>20</v>
      </c>
      <c r="H25" s="927"/>
      <c r="I25" s="910">
        <f>IF('Registro Original'!F30&lt;&gt;"", 'Registro Original'!F30, "")</f>
        <v>203</v>
      </c>
      <c r="J25" s="910"/>
      <c r="K25" s="309"/>
      <c r="L25" s="911" t="str">
        <f>IF('Registro Original'!I30&lt;&gt;"", 'Registro Original'!I30, "")</f>
        <v>Visomes (CAL 0127)</v>
      </c>
      <c r="M25" s="911"/>
      <c r="N25" s="911"/>
      <c r="O25" s="911"/>
      <c r="P25" s="911"/>
      <c r="Q25" s="911"/>
      <c r="R25" s="309"/>
      <c r="S25" s="912" t="str">
        <f>IF('Registro Original'!K30&lt;&gt;"", 'Registro Original'!K30, "")</f>
        <v>LV04397-47490-20-R0</v>
      </c>
      <c r="T25" s="912"/>
      <c r="U25" s="912"/>
      <c r="V25" s="912"/>
      <c r="W25" s="912"/>
      <c r="X25" s="912"/>
      <c r="Y25" s="309"/>
      <c r="Z25" s="913">
        <f>IF('Registro Original'!M30&lt;&gt;"", 'Registro Original'!M30, "")</f>
        <v>44927</v>
      </c>
      <c r="AA25" s="913"/>
      <c r="AB25" s="913"/>
      <c r="AC25" s="366"/>
      <c r="AD25" s="366"/>
      <c r="AE25" s="366"/>
      <c r="AF25" s="366"/>
      <c r="AG25" s="369"/>
      <c r="AH25" s="370"/>
      <c r="AI25" s="370"/>
      <c r="AJ25" s="370"/>
      <c r="AK25" s="370"/>
      <c r="AL25" s="370"/>
      <c r="AM25" s="370"/>
      <c r="AN25" s="370"/>
      <c r="AO25" s="370"/>
      <c r="AP25" s="370"/>
      <c r="AQ25" s="370"/>
      <c r="AV25" s="453" t="s">
        <v>261</v>
      </c>
    </row>
    <row r="26" spans="1:48">
      <c r="A26" s="907" t="str">
        <f>CONCATENATE('Registro Original'!D31," ",'Registro Original'!H31," A")</f>
        <v>Filtro de absorbância 0,5 A</v>
      </c>
      <c r="B26" s="908"/>
      <c r="C26" s="908"/>
      <c r="D26" s="908"/>
      <c r="E26" s="908"/>
      <c r="F26" s="908"/>
      <c r="G26" s="927" t="s">
        <v>20</v>
      </c>
      <c r="H26" s="927"/>
      <c r="I26" s="910">
        <f>IF('Registro Original'!F31&lt;&gt;"", 'Registro Original'!F31, "")</f>
        <v>203</v>
      </c>
      <c r="J26" s="910"/>
      <c r="K26" s="309"/>
      <c r="L26" s="911" t="str">
        <f>IF('Registro Original'!I31&lt;&gt;"", 'Registro Original'!I31, "")</f>
        <v>Visomes (CAL 0127)</v>
      </c>
      <c r="M26" s="911"/>
      <c r="N26" s="911"/>
      <c r="O26" s="911"/>
      <c r="P26" s="911"/>
      <c r="Q26" s="911"/>
      <c r="R26" s="309"/>
      <c r="S26" s="912" t="str">
        <f>IF('Registro Original'!K31&lt;&gt;"", 'Registro Original'!K31, "")</f>
        <v>LV04397-47490-20-R0</v>
      </c>
      <c r="T26" s="912"/>
      <c r="U26" s="912"/>
      <c r="V26" s="912"/>
      <c r="W26" s="912"/>
      <c r="X26" s="912"/>
      <c r="Y26" s="309"/>
      <c r="Z26" s="913">
        <f>IF('Registro Original'!M31&lt;&gt;"", 'Registro Original'!M31, "")</f>
        <v>44927</v>
      </c>
      <c r="AA26" s="913"/>
      <c r="AB26" s="913"/>
      <c r="AC26" s="366"/>
      <c r="AD26" s="366"/>
      <c r="AE26" s="366"/>
      <c r="AF26" s="366"/>
      <c r="AG26" s="369"/>
      <c r="AH26" s="370"/>
      <c r="AI26" s="370"/>
      <c r="AJ26" s="370"/>
      <c r="AK26" s="370"/>
      <c r="AL26" s="370"/>
      <c r="AM26" s="370"/>
      <c r="AN26" s="370"/>
      <c r="AO26" s="370"/>
      <c r="AP26" s="370"/>
      <c r="AQ26" s="370"/>
      <c r="AV26" s="453" t="s">
        <v>260</v>
      </c>
    </row>
    <row r="27" spans="1:48">
      <c r="A27" s="907" t="str">
        <f>CONCATENATE('Registro Original'!D32," ",'Registro Original'!H32," A")</f>
        <v>Filtro de absorbância 0,25 A</v>
      </c>
      <c r="B27" s="908"/>
      <c r="C27" s="908"/>
      <c r="D27" s="908"/>
      <c r="E27" s="908"/>
      <c r="F27" s="908"/>
      <c r="G27" s="927" t="s">
        <v>20</v>
      </c>
      <c r="H27" s="927"/>
      <c r="I27" s="910">
        <f>IF('Registro Original'!F32&lt;&gt;"", 'Registro Original'!F32, "")</f>
        <v>203</v>
      </c>
      <c r="J27" s="910"/>
      <c r="K27" s="309"/>
      <c r="L27" s="911" t="str">
        <f>IF('Registro Original'!I32&lt;&gt;"", 'Registro Original'!I32, "")</f>
        <v>Visomes (CAL 0127)</v>
      </c>
      <c r="M27" s="911"/>
      <c r="N27" s="911"/>
      <c r="O27" s="911"/>
      <c r="P27" s="911"/>
      <c r="Q27" s="911"/>
      <c r="R27" s="309"/>
      <c r="S27" s="912" t="str">
        <f>IF('Registro Original'!K32&lt;&gt;"", 'Registro Original'!K32, "")</f>
        <v>LV04397-47490-20-R0</v>
      </c>
      <c r="T27" s="912"/>
      <c r="U27" s="912"/>
      <c r="V27" s="912"/>
      <c r="W27" s="912"/>
      <c r="X27" s="912"/>
      <c r="Y27" s="309"/>
      <c r="Z27" s="913">
        <f>IF('Registro Original'!M32&lt;&gt;"", 'Registro Original'!M32, "")</f>
        <v>44927</v>
      </c>
      <c r="AA27" s="913"/>
      <c r="AB27" s="913"/>
      <c r="AC27" s="366"/>
      <c r="AD27" s="366"/>
      <c r="AE27" s="366"/>
      <c r="AF27" s="366"/>
      <c r="AG27" s="369"/>
      <c r="AH27" s="370"/>
      <c r="AI27" s="370"/>
      <c r="AJ27" s="370"/>
      <c r="AK27" s="370"/>
      <c r="AL27" s="370"/>
      <c r="AM27" s="370"/>
      <c r="AN27" s="370"/>
      <c r="AO27" s="370"/>
      <c r="AP27" s="370"/>
      <c r="AQ27" s="370"/>
    </row>
    <row r="28" spans="1:48">
      <c r="A28" s="907" t="str">
        <f>'Registro Original'!D33</f>
        <v>Termohigrômetro</v>
      </c>
      <c r="B28" s="908"/>
      <c r="C28" s="908"/>
      <c r="D28" s="908"/>
      <c r="E28" s="908"/>
      <c r="F28" s="908"/>
      <c r="G28" s="909" t="s">
        <v>20</v>
      </c>
      <c r="H28" s="909"/>
      <c r="I28" s="910" t="str">
        <f>IF('Registro Original'!F33&lt;&gt;"", 'Registro Original'!F33, "")</f>
        <v/>
      </c>
      <c r="J28" s="910"/>
      <c r="K28" s="309"/>
      <c r="L28" s="911" t="str">
        <f>IF('Registro Original'!I33&lt;&gt;"", 'Registro Original'!I33, "")</f>
        <v>Sertin (CAL 0316)</v>
      </c>
      <c r="M28" s="911"/>
      <c r="N28" s="911"/>
      <c r="O28" s="911"/>
      <c r="P28" s="911"/>
      <c r="Q28" s="911"/>
      <c r="R28" s="309"/>
      <c r="S28" s="912" t="str">
        <f>IF('Registro Original'!K33&lt;&gt;"", 'Registro Original'!K33, "")</f>
        <v/>
      </c>
      <c r="T28" s="912"/>
      <c r="U28" s="912"/>
      <c r="V28" s="912"/>
      <c r="W28" s="912"/>
      <c r="X28" s="912"/>
      <c r="Y28" s="309"/>
      <c r="Z28" s="913" t="str">
        <f>IF('Registro Original'!M33&lt;&gt;"", 'Registro Original'!M33, "")</f>
        <v/>
      </c>
      <c r="AA28" s="913"/>
      <c r="AB28" s="913"/>
      <c r="AC28" s="366"/>
      <c r="AD28" s="366"/>
      <c r="AE28" s="366"/>
      <c r="AF28" s="366"/>
      <c r="AG28" s="369"/>
      <c r="AH28" s="893"/>
      <c r="AI28" s="892"/>
      <c r="AJ28" s="892"/>
      <c r="AK28" s="892"/>
      <c r="AL28" s="892"/>
      <c r="AM28" s="892"/>
      <c r="AN28" s="892"/>
      <c r="AO28" s="892"/>
      <c r="AP28" s="892"/>
      <c r="AQ28" s="892"/>
    </row>
    <row r="29" spans="1:48" ht="15.75" thickBot="1">
      <c r="A29" s="903"/>
      <c r="B29" s="904"/>
      <c r="C29" s="904"/>
      <c r="D29" s="904"/>
      <c r="E29" s="904"/>
      <c r="F29" s="904"/>
      <c r="G29" s="904"/>
      <c r="H29" s="904"/>
      <c r="I29" s="905"/>
      <c r="J29" s="905"/>
      <c r="K29" s="371"/>
      <c r="L29" s="372"/>
      <c r="M29" s="372"/>
      <c r="N29" s="372"/>
      <c r="O29" s="372"/>
      <c r="P29" s="372"/>
      <c r="Q29" s="372"/>
      <c r="R29" s="371"/>
      <c r="S29" s="906"/>
      <c r="T29" s="906"/>
      <c r="U29" s="906"/>
      <c r="V29" s="906"/>
      <c r="W29" s="906"/>
      <c r="X29" s="906"/>
      <c r="Y29" s="371"/>
      <c r="Z29" s="906"/>
      <c r="AA29" s="906"/>
      <c r="AB29" s="906"/>
      <c r="AC29" s="373"/>
      <c r="AD29" s="373"/>
      <c r="AE29" s="373"/>
      <c r="AF29" s="373"/>
      <c r="AG29" s="374"/>
      <c r="AH29" s="893"/>
      <c r="AI29" s="892"/>
      <c r="AJ29" s="892"/>
      <c r="AK29" s="892"/>
      <c r="AL29" s="892"/>
      <c r="AM29" s="892"/>
      <c r="AN29" s="892"/>
      <c r="AO29" s="892"/>
      <c r="AP29" s="892"/>
      <c r="AQ29" s="892"/>
    </row>
    <row r="30" spans="1:48">
      <c r="A30" s="375"/>
      <c r="B30" s="375"/>
      <c r="C30" s="375"/>
      <c r="D30" s="375"/>
      <c r="E30" s="375"/>
      <c r="F30" s="375"/>
      <c r="G30" s="375"/>
      <c r="H30" s="375"/>
      <c r="I30" s="375"/>
      <c r="J30" s="375"/>
      <c r="K30" s="375"/>
      <c r="L30" s="375"/>
      <c r="M30" s="375"/>
      <c r="N30" s="375"/>
      <c r="O30" s="375"/>
      <c r="P30" s="375"/>
      <c r="Q30" s="375"/>
      <c r="R30" s="375"/>
      <c r="S30" s="375"/>
      <c r="T30" s="375"/>
      <c r="U30" s="375"/>
      <c r="V30" s="375"/>
      <c r="W30" s="375"/>
      <c r="X30" s="375"/>
      <c r="Y30" s="375"/>
      <c r="Z30" s="375"/>
      <c r="AA30" s="375"/>
      <c r="AB30" s="376"/>
      <c r="AC30" s="366"/>
      <c r="AD30" s="366"/>
      <c r="AE30" s="366"/>
      <c r="AF30" s="366"/>
      <c r="AG30" s="377"/>
      <c r="AH30" s="378"/>
      <c r="AI30" s="378"/>
      <c r="AJ30" s="378"/>
      <c r="AK30" s="378"/>
      <c r="AL30" s="378"/>
      <c r="AM30" s="378"/>
      <c r="AN30" s="378"/>
      <c r="AO30" s="378"/>
      <c r="AP30" s="378"/>
      <c r="AQ30" s="378"/>
    </row>
    <row r="31" spans="1:48">
      <c r="A31" s="916" t="s">
        <v>215</v>
      </c>
      <c r="B31" s="916"/>
      <c r="C31" s="916"/>
      <c r="D31" s="916"/>
      <c r="E31" s="916"/>
      <c r="F31" s="916"/>
      <c r="G31" s="916"/>
      <c r="H31" s="916"/>
      <c r="I31" s="916"/>
      <c r="J31" s="916"/>
      <c r="K31" s="916"/>
      <c r="L31" s="916"/>
      <c r="M31" s="916"/>
      <c r="N31" s="916"/>
      <c r="O31" s="916"/>
      <c r="P31" s="916"/>
      <c r="Q31" s="916"/>
      <c r="R31" s="916"/>
      <c r="S31" s="916"/>
      <c r="T31" s="916"/>
      <c r="U31" s="916"/>
      <c r="V31" s="916"/>
      <c r="W31" s="916"/>
      <c r="X31" s="916"/>
      <c r="Y31" s="916"/>
      <c r="Z31" s="916"/>
      <c r="AA31" s="916"/>
      <c r="AB31" s="916"/>
      <c r="AC31" s="916"/>
      <c r="AD31" s="916"/>
      <c r="AE31" s="916"/>
      <c r="AF31" s="916"/>
      <c r="AG31" s="916"/>
      <c r="AH31" s="309"/>
      <c r="AI31" s="309"/>
      <c r="AJ31" s="309"/>
      <c r="AK31" s="309"/>
      <c r="AL31" s="309"/>
      <c r="AM31" s="309"/>
      <c r="AN31" s="309"/>
      <c r="AO31" s="309"/>
      <c r="AP31" s="309"/>
      <c r="AQ31" s="309"/>
    </row>
    <row r="32" spans="1:48">
      <c r="A32" s="891" t="s">
        <v>215</v>
      </c>
      <c r="B32" s="891"/>
      <c r="C32" s="891"/>
      <c r="D32" s="891"/>
      <c r="E32" s="891"/>
      <c r="F32" s="917" t="s">
        <v>434</v>
      </c>
      <c r="G32" s="917"/>
      <c r="H32" s="918" t="s">
        <v>216</v>
      </c>
      <c r="I32" s="918"/>
      <c r="J32" s="918"/>
      <c r="K32" s="918"/>
      <c r="L32" s="919">
        <f>IF('Registro Original'!G37&lt;&gt;"", 'Registro Original'!G37, "")</f>
        <v>23.4</v>
      </c>
      <c r="M32" s="919"/>
      <c r="N32" s="920" t="s">
        <v>247</v>
      </c>
      <c r="O32" s="920"/>
      <c r="P32" s="379"/>
      <c r="Q32" s="379"/>
      <c r="R32" s="380"/>
      <c r="S32" s="380"/>
      <c r="T32" s="921" t="s">
        <v>217</v>
      </c>
      <c r="U32" s="921"/>
      <c r="V32" s="921"/>
      <c r="W32" s="921"/>
      <c r="X32" s="921"/>
      <c r="Y32" s="922">
        <f>IF('Registro Original'!L37&lt;&gt;"", 'Registro Original'!L37, "")</f>
        <v>74</v>
      </c>
      <c r="Z32" s="922"/>
      <c r="AA32" s="923" t="s">
        <v>334</v>
      </c>
      <c r="AB32" s="923"/>
      <c r="AC32" s="381"/>
      <c r="AD32" s="381"/>
      <c r="AE32" s="381"/>
      <c r="AF32" s="381"/>
      <c r="AG32" s="381"/>
      <c r="AH32" s="381"/>
      <c r="AI32" s="381"/>
      <c r="AJ32" s="305"/>
      <c r="AK32" s="308"/>
      <c r="AL32" s="308"/>
      <c r="AM32" s="308"/>
      <c r="AN32" s="308"/>
      <c r="AO32" s="308"/>
      <c r="AP32" s="308"/>
      <c r="AQ32" s="308"/>
    </row>
    <row r="33" spans="1:43">
      <c r="A33" s="891"/>
      <c r="B33" s="891"/>
      <c r="C33" s="891"/>
      <c r="D33" s="891"/>
      <c r="E33" s="891"/>
      <c r="F33" s="924" t="s">
        <v>218</v>
      </c>
      <c r="G33" s="924"/>
      <c r="H33" s="918"/>
      <c r="I33" s="918"/>
      <c r="J33" s="918"/>
      <c r="K33" s="918"/>
      <c r="L33" s="925">
        <f>IF('Registro Original'!G38&lt;&gt;"", 'Registro Original'!G38, "")</f>
        <v>23.7</v>
      </c>
      <c r="M33" s="925"/>
      <c r="N33" s="920" t="s">
        <v>247</v>
      </c>
      <c r="O33" s="920"/>
      <c r="P33" s="382"/>
      <c r="Q33" s="382"/>
      <c r="R33" s="383"/>
      <c r="S33" s="383"/>
      <c r="T33" s="921"/>
      <c r="U33" s="921"/>
      <c r="V33" s="921"/>
      <c r="W33" s="921"/>
      <c r="X33" s="921"/>
      <c r="Y33" s="922">
        <f>IF('Registro Original'!L40&lt;&gt;"", 'Registro Original'!L40,"")</f>
        <v>79</v>
      </c>
      <c r="Z33" s="922"/>
      <c r="AA33" s="923" t="s">
        <v>334</v>
      </c>
      <c r="AB33" s="923"/>
      <c r="AC33" s="384"/>
      <c r="AD33" s="384"/>
      <c r="AE33" s="384"/>
      <c r="AF33" s="385"/>
      <c r="AG33" s="385"/>
      <c r="AH33" s="381"/>
      <c r="AI33" s="381"/>
      <c r="AJ33" s="359"/>
      <c r="AK33" s="308"/>
      <c r="AL33" s="308"/>
      <c r="AM33" s="308"/>
      <c r="AN33" s="308"/>
      <c r="AO33" s="308"/>
      <c r="AP33" s="308"/>
      <c r="AQ33" s="308"/>
    </row>
    <row r="34" spans="1:43">
      <c r="A34" s="386"/>
      <c r="B34" s="386"/>
      <c r="C34" s="386"/>
      <c r="D34" s="386"/>
      <c r="E34" s="386"/>
      <c r="F34" s="387"/>
      <c r="G34" s="387"/>
      <c r="H34" s="388"/>
      <c r="I34" s="388"/>
      <c r="J34" s="388"/>
      <c r="K34" s="388"/>
      <c r="L34" s="387"/>
      <c r="M34" s="387"/>
      <c r="N34" s="387"/>
      <c r="O34" s="387"/>
      <c r="P34" s="387"/>
      <c r="Q34" s="387"/>
      <c r="R34" s="387"/>
      <c r="S34" s="387"/>
      <c r="T34" s="387"/>
      <c r="U34" s="387"/>
      <c r="V34" s="387"/>
      <c r="W34" s="387"/>
      <c r="X34" s="387"/>
      <c r="Y34" s="387"/>
      <c r="Z34" s="387"/>
      <c r="AA34" s="389"/>
      <c r="AB34" s="389"/>
      <c r="AC34" s="384"/>
      <c r="AD34" s="384"/>
      <c r="AE34" s="384"/>
      <c r="AG34" s="385"/>
      <c r="AH34" s="381"/>
      <c r="AI34" s="381"/>
      <c r="AJ34" s="359"/>
      <c r="AK34" s="308"/>
      <c r="AL34" s="385"/>
      <c r="AM34" s="308"/>
      <c r="AN34" s="308"/>
      <c r="AO34" s="308"/>
      <c r="AP34" s="308"/>
      <c r="AQ34" s="308"/>
    </row>
    <row r="35" spans="1:43" ht="16.5">
      <c r="A35" s="926" t="s">
        <v>219</v>
      </c>
      <c r="B35" s="926"/>
      <c r="C35" s="926"/>
      <c r="D35" s="926"/>
      <c r="E35" s="926"/>
      <c r="F35" s="926"/>
      <c r="G35" s="926"/>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339"/>
      <c r="AH35" s="308"/>
      <c r="AI35" s="308"/>
      <c r="AJ35" s="308"/>
      <c r="AK35" s="308"/>
      <c r="AL35" s="308"/>
      <c r="AM35" s="308"/>
      <c r="AN35" s="308"/>
      <c r="AO35" s="308"/>
      <c r="AP35" s="309"/>
      <c r="AQ35" s="309"/>
    </row>
    <row r="36" spans="1:43" ht="16.5" thickBot="1">
      <c r="A36" s="896"/>
      <c r="B36" s="896"/>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914"/>
      <c r="AA36" s="914"/>
      <c r="AB36" s="914"/>
      <c r="AC36" s="915"/>
      <c r="AD36" s="915"/>
      <c r="AE36" s="915"/>
      <c r="AF36" s="915"/>
      <c r="AG36" s="390"/>
      <c r="AH36" s="892"/>
      <c r="AI36" s="892"/>
      <c r="AJ36" s="892"/>
      <c r="AK36" s="892"/>
      <c r="AL36" s="892"/>
      <c r="AM36" s="892"/>
      <c r="AN36" s="892"/>
      <c r="AO36" s="892"/>
      <c r="AP36" s="892"/>
      <c r="AQ36" s="892"/>
    </row>
    <row r="37" spans="1:43" ht="6.75" customHeight="1">
      <c r="A37" s="458"/>
      <c r="B37" s="894"/>
      <c r="C37" s="894"/>
      <c r="D37" s="894"/>
      <c r="E37" s="894"/>
      <c r="F37" s="894"/>
      <c r="G37" s="894"/>
      <c r="H37" s="894"/>
      <c r="I37" s="894"/>
      <c r="J37" s="894"/>
      <c r="K37" s="894"/>
      <c r="L37" s="894"/>
      <c r="M37" s="894"/>
      <c r="N37" s="894"/>
      <c r="O37" s="894"/>
      <c r="P37" s="894"/>
      <c r="Q37" s="894"/>
      <c r="R37" s="894"/>
      <c r="S37" s="894"/>
      <c r="T37" s="894"/>
      <c r="U37" s="894"/>
      <c r="V37" s="894"/>
      <c r="W37" s="894"/>
      <c r="X37" s="894"/>
      <c r="Y37" s="894"/>
      <c r="Z37" s="894"/>
      <c r="AA37" s="894"/>
      <c r="AB37" s="894"/>
      <c r="AC37" s="894"/>
      <c r="AD37" s="894"/>
      <c r="AE37" s="894"/>
      <c r="AF37" s="894"/>
      <c r="AG37" s="393"/>
      <c r="AH37" s="893"/>
      <c r="AI37" s="892"/>
      <c r="AJ37" s="892"/>
      <c r="AK37" s="892"/>
      <c r="AL37" s="892"/>
      <c r="AM37" s="892"/>
      <c r="AN37" s="892"/>
      <c r="AO37" s="892"/>
      <c r="AP37" s="892"/>
      <c r="AQ37" s="892"/>
    </row>
    <row r="38" spans="1:43">
      <c r="A38" s="455"/>
      <c r="B38" s="899" t="s">
        <v>299</v>
      </c>
      <c r="C38" s="899"/>
      <c r="D38" s="899"/>
      <c r="E38" s="899"/>
      <c r="F38" s="899"/>
      <c r="G38" s="899"/>
      <c r="H38" s="899"/>
      <c r="I38" s="899"/>
      <c r="J38" s="899"/>
      <c r="K38" s="899"/>
      <c r="L38" s="899"/>
      <c r="M38" s="899"/>
      <c r="N38" s="899"/>
      <c r="O38" s="899"/>
      <c r="P38" s="899"/>
      <c r="Q38" s="899"/>
      <c r="R38" s="899"/>
      <c r="S38" s="899"/>
      <c r="T38" s="899"/>
      <c r="U38" s="899"/>
      <c r="V38" s="899"/>
      <c r="W38" s="899"/>
      <c r="X38" s="899"/>
      <c r="Y38" s="899"/>
      <c r="Z38" s="899"/>
      <c r="AA38" s="899"/>
      <c r="AB38" s="899"/>
      <c r="AC38" s="899"/>
      <c r="AD38" s="899"/>
      <c r="AE38" s="899"/>
      <c r="AF38" s="899"/>
      <c r="AG38" s="393"/>
      <c r="AH38" s="457"/>
      <c r="AI38" s="429"/>
      <c r="AJ38" s="429"/>
      <c r="AK38" s="429"/>
      <c r="AL38" s="429"/>
      <c r="AM38" s="429"/>
      <c r="AN38" s="429"/>
      <c r="AO38" s="429"/>
      <c r="AP38" s="429"/>
      <c r="AQ38" s="429"/>
    </row>
    <row r="39" spans="1:43" ht="4.5" customHeight="1">
      <c r="A39" s="455"/>
      <c r="B39" s="456"/>
      <c r="C39" s="456"/>
      <c r="D39" s="456"/>
      <c r="E39" s="456"/>
      <c r="F39" s="456"/>
      <c r="G39" s="456"/>
      <c r="H39" s="456"/>
      <c r="I39" s="456"/>
      <c r="J39" s="456"/>
      <c r="K39" s="456"/>
      <c r="L39" s="456"/>
      <c r="M39" s="456"/>
      <c r="N39" s="456"/>
      <c r="O39" s="456"/>
      <c r="P39" s="456"/>
      <c r="Q39" s="456"/>
      <c r="R39" s="456"/>
      <c r="S39" s="456"/>
      <c r="T39" s="456"/>
      <c r="U39" s="456"/>
      <c r="V39" s="456"/>
      <c r="W39" s="456"/>
      <c r="X39" s="391"/>
      <c r="Y39" s="391"/>
      <c r="Z39" s="391"/>
      <c r="AA39" s="391"/>
      <c r="AB39" s="391"/>
      <c r="AC39" s="392"/>
      <c r="AD39" s="391"/>
      <c r="AE39" s="391"/>
      <c r="AF39" s="391"/>
      <c r="AG39" s="393"/>
      <c r="AH39" s="457"/>
      <c r="AI39" s="429"/>
      <c r="AJ39" s="429"/>
      <c r="AK39" s="429"/>
      <c r="AL39" s="429"/>
      <c r="AM39" s="429"/>
      <c r="AN39" s="429"/>
      <c r="AO39" s="429"/>
      <c r="AP39" s="429"/>
      <c r="AQ39" s="429"/>
    </row>
    <row r="40" spans="1:43">
      <c r="A40" s="455"/>
      <c r="B40" s="870" t="str">
        <f>CONCATENATE("Tabela 1                                                                  Padrão de Óxido de Hólmio - Comprimento de Onda - Largura de Banda ", $Q$17, " nm")</f>
        <v>Tabela 1                                                                  Padrão de Óxido de Hólmio - Comprimento de Onda - Largura de Banda 5 nm</v>
      </c>
      <c r="C40" s="870"/>
      <c r="D40" s="870"/>
      <c r="E40" s="870"/>
      <c r="F40" s="870"/>
      <c r="G40" s="870"/>
      <c r="H40" s="870"/>
      <c r="I40" s="870"/>
      <c r="J40" s="870"/>
      <c r="K40" s="870"/>
      <c r="L40" s="870"/>
      <c r="M40" s="870"/>
      <c r="N40" s="870"/>
      <c r="O40" s="870"/>
      <c r="P40" s="870"/>
      <c r="Q40" s="870"/>
      <c r="R40" s="870"/>
      <c r="S40" s="870"/>
      <c r="T40" s="870"/>
      <c r="U40" s="870"/>
      <c r="V40" s="870"/>
      <c r="W40" s="870"/>
      <c r="X40" s="870"/>
      <c r="Y40" s="870"/>
      <c r="Z40" s="870"/>
      <c r="AA40" s="870"/>
      <c r="AB40" s="870"/>
      <c r="AC40" s="870"/>
      <c r="AD40" s="870"/>
      <c r="AE40" s="870"/>
      <c r="AF40" s="870"/>
      <c r="AG40" s="393"/>
      <c r="AH40" s="457"/>
      <c r="AI40" s="429"/>
      <c r="AJ40" s="429"/>
      <c r="AK40" s="695"/>
      <c r="AL40" s="429"/>
      <c r="AM40" s="429"/>
      <c r="AN40" s="429"/>
      <c r="AO40" s="429"/>
      <c r="AP40" s="429"/>
      <c r="AQ40" s="429"/>
    </row>
    <row r="41" spans="1:43">
      <c r="A41" s="455"/>
      <c r="B41" s="874" t="s">
        <v>267</v>
      </c>
      <c r="C41" s="895"/>
      <c r="D41" s="895"/>
      <c r="E41" s="895"/>
      <c r="F41" s="895"/>
      <c r="G41" s="895"/>
      <c r="H41" s="895" t="s">
        <v>268</v>
      </c>
      <c r="I41" s="895"/>
      <c r="J41" s="895"/>
      <c r="K41" s="895"/>
      <c r="L41" s="895"/>
      <c r="M41" s="895"/>
      <c r="N41" s="877" t="s">
        <v>99</v>
      </c>
      <c r="O41" s="877"/>
      <c r="P41" s="877"/>
      <c r="Q41" s="877" t="s">
        <v>269</v>
      </c>
      <c r="R41" s="877"/>
      <c r="S41" s="877"/>
      <c r="T41" s="878" t="s">
        <v>270</v>
      </c>
      <c r="U41" s="878"/>
      <c r="V41" s="878"/>
      <c r="W41" s="878"/>
      <c r="X41" s="878"/>
      <c r="Y41" s="878"/>
      <c r="Z41" s="879" t="s">
        <v>301</v>
      </c>
      <c r="AA41" s="880"/>
      <c r="AB41" s="880"/>
      <c r="AC41" s="880"/>
      <c r="AD41" s="880"/>
      <c r="AE41" s="880"/>
      <c r="AF41" s="880"/>
      <c r="AG41" s="393"/>
      <c r="AH41" s="457"/>
      <c r="AI41" s="429"/>
      <c r="AJ41" s="429"/>
      <c r="AK41" s="429"/>
      <c r="AL41" s="429"/>
      <c r="AM41" s="429"/>
      <c r="AN41" s="429"/>
      <c r="AO41" s="429"/>
      <c r="AP41" s="429"/>
      <c r="AQ41" s="429"/>
    </row>
    <row r="42" spans="1:43">
      <c r="A42" s="455"/>
      <c r="B42" s="874"/>
      <c r="C42" s="895"/>
      <c r="D42" s="895"/>
      <c r="E42" s="895"/>
      <c r="F42" s="895"/>
      <c r="G42" s="895"/>
      <c r="H42" s="895"/>
      <c r="I42" s="895"/>
      <c r="J42" s="895"/>
      <c r="K42" s="895"/>
      <c r="L42" s="895"/>
      <c r="M42" s="895"/>
      <c r="N42" s="878" t="s">
        <v>111</v>
      </c>
      <c r="O42" s="878"/>
      <c r="P42" s="878"/>
      <c r="Q42" s="878" t="s">
        <v>111</v>
      </c>
      <c r="R42" s="878"/>
      <c r="S42" s="878"/>
      <c r="T42" s="878" t="s">
        <v>298</v>
      </c>
      <c r="U42" s="878"/>
      <c r="V42" s="878"/>
      <c r="W42" s="878"/>
      <c r="X42" s="878"/>
      <c r="Y42" s="878"/>
      <c r="Z42" s="881" t="s">
        <v>158</v>
      </c>
      <c r="AA42" s="882"/>
      <c r="AB42" s="882"/>
      <c r="AC42" s="882"/>
      <c r="AD42" s="882"/>
      <c r="AE42" s="882"/>
      <c r="AF42" s="882"/>
      <c r="AG42" s="393"/>
      <c r="AH42" s="457"/>
      <c r="AI42" s="429"/>
      <c r="AJ42" s="429"/>
      <c r="AK42" s="429"/>
      <c r="AL42" s="429"/>
      <c r="AM42" s="429"/>
      <c r="AN42" s="429"/>
      <c r="AO42" s="429"/>
      <c r="AP42" s="429"/>
      <c r="AQ42" s="429"/>
    </row>
    <row r="43" spans="1:43" ht="15" customHeight="1">
      <c r="A43" s="455"/>
      <c r="B43" s="833">
        <f>'Registro Tratado'!W367</f>
        <v>279.38</v>
      </c>
      <c r="C43" s="834"/>
      <c r="D43" s="834"/>
      <c r="E43" s="834"/>
      <c r="F43" s="834"/>
      <c r="G43" s="834"/>
      <c r="H43" s="832">
        <f>'Registro Tratado'!X367</f>
        <v>279.25148690254872</v>
      </c>
      <c r="I43" s="832"/>
      <c r="J43" s="832"/>
      <c r="K43" s="832"/>
      <c r="L43" s="832"/>
      <c r="M43" s="832"/>
      <c r="N43" s="837">
        <f t="shared" ref="N43:N51" si="0">ROUND(ROUND(H43,1)-B43, 1)</f>
        <v>-0.1</v>
      </c>
      <c r="O43" s="837"/>
      <c r="P43" s="837"/>
      <c r="Q43" s="837">
        <f>'Incerteza Lambda'!AA$18</f>
        <v>0.2</v>
      </c>
      <c r="R43" s="837"/>
      <c r="S43" s="837"/>
      <c r="T43" s="967">
        <f>'Incerteza Lambda'!AL18</f>
        <v>2</v>
      </c>
      <c r="U43" s="967"/>
      <c r="V43" s="967"/>
      <c r="W43" s="967"/>
      <c r="X43" s="967"/>
      <c r="Y43" s="967"/>
      <c r="Z43" s="968" t="str">
        <f>'Incerteza Lambda'!AL16</f>
        <v>∞</v>
      </c>
      <c r="AA43" s="969"/>
      <c r="AB43" s="969"/>
      <c r="AC43" s="969"/>
      <c r="AD43" s="969"/>
      <c r="AE43" s="969"/>
      <c r="AF43" s="970"/>
      <c r="AG43" s="393"/>
      <c r="AH43" s="457"/>
      <c r="AI43" s="429"/>
      <c r="AJ43" s="429"/>
      <c r="AK43" s="698"/>
      <c r="AL43" s="698"/>
      <c r="AM43" s="698"/>
      <c r="AN43" s="698"/>
      <c r="AO43" s="429"/>
      <c r="AP43" s="429"/>
      <c r="AQ43" s="429"/>
    </row>
    <row r="44" spans="1:43" ht="15" customHeight="1">
      <c r="A44" s="455"/>
      <c r="B44" s="833">
        <f>'Registro Tratado'!W368</f>
        <v>287.58</v>
      </c>
      <c r="C44" s="834"/>
      <c r="D44" s="834"/>
      <c r="E44" s="834"/>
      <c r="F44" s="834"/>
      <c r="G44" s="834"/>
      <c r="H44" s="832">
        <f>'Registro Tratado'!X368</f>
        <v>288.81543484223624</v>
      </c>
      <c r="I44" s="832"/>
      <c r="J44" s="832"/>
      <c r="K44" s="832"/>
      <c r="L44" s="832"/>
      <c r="M44" s="832"/>
      <c r="N44" s="837">
        <f t="shared" si="0"/>
        <v>1.2</v>
      </c>
      <c r="O44" s="837"/>
      <c r="P44" s="837"/>
      <c r="Q44" s="837">
        <f>'Incerteza Lambda'!AB$18</f>
        <v>0.2</v>
      </c>
      <c r="R44" s="837"/>
      <c r="S44" s="837"/>
      <c r="T44" s="838">
        <f>'Incerteza Lambda'!AM18</f>
        <v>2</v>
      </c>
      <c r="U44" s="839"/>
      <c r="V44" s="839"/>
      <c r="W44" s="839"/>
      <c r="X44" s="839"/>
      <c r="Y44" s="840"/>
      <c r="Z44" s="841" t="str">
        <f>'Incerteza Lambda'!AM16</f>
        <v>∞</v>
      </c>
      <c r="AA44" s="842"/>
      <c r="AB44" s="842"/>
      <c r="AC44" s="842"/>
      <c r="AD44" s="842"/>
      <c r="AE44" s="842"/>
      <c r="AF44" s="842"/>
      <c r="AG44" s="393"/>
      <c r="AH44" s="457"/>
      <c r="AI44" s="650"/>
      <c r="AJ44" s="650"/>
      <c r="AK44" s="698"/>
      <c r="AL44" s="698"/>
      <c r="AM44" s="698"/>
      <c r="AN44" s="698"/>
      <c r="AO44" s="650"/>
      <c r="AP44" s="650"/>
      <c r="AQ44" s="650"/>
    </row>
    <row r="45" spans="1:43" ht="15" customHeight="1">
      <c r="A45" s="455"/>
      <c r="B45" s="833">
        <f>'Registro Tratado'!W369</f>
        <v>333.84</v>
      </c>
      <c r="C45" s="834"/>
      <c r="D45" s="834"/>
      <c r="E45" s="834"/>
      <c r="F45" s="834"/>
      <c r="G45" s="834"/>
      <c r="H45" s="832">
        <f>'Registro Tratado'!X369</f>
        <v>334.90966692368266</v>
      </c>
      <c r="I45" s="832"/>
      <c r="J45" s="832"/>
      <c r="K45" s="832"/>
      <c r="L45" s="832"/>
      <c r="M45" s="832"/>
      <c r="N45" s="837">
        <f t="shared" si="0"/>
        <v>1.1000000000000001</v>
      </c>
      <c r="O45" s="837"/>
      <c r="P45" s="837"/>
      <c r="Q45" s="837">
        <f>'Incerteza Lambda'!AC$18</f>
        <v>0.79999999999999993</v>
      </c>
      <c r="R45" s="837"/>
      <c r="S45" s="837"/>
      <c r="T45" s="902">
        <f>'Incerteza Lambda'!AN18</f>
        <v>4.5265507600819923</v>
      </c>
      <c r="U45" s="902"/>
      <c r="V45" s="902"/>
      <c r="W45" s="902"/>
      <c r="X45" s="902"/>
      <c r="Y45" s="902"/>
      <c r="Z45" s="835">
        <f>'Incerteza Lambda'!AN16</f>
        <v>2.3490752136054582</v>
      </c>
      <c r="AA45" s="836"/>
      <c r="AB45" s="836"/>
      <c r="AC45" s="836"/>
      <c r="AD45" s="836"/>
      <c r="AE45" s="836"/>
      <c r="AF45" s="836"/>
      <c r="AG45" s="393"/>
      <c r="AH45" s="457"/>
      <c r="AI45" s="650"/>
      <c r="AJ45" s="698"/>
      <c r="AK45" s="698"/>
      <c r="AL45" s="698"/>
      <c r="AM45" s="698"/>
      <c r="AN45" s="698"/>
      <c r="AO45" s="650"/>
      <c r="AP45" s="650"/>
      <c r="AQ45" s="650"/>
    </row>
    <row r="46" spans="1:43" ht="15" customHeight="1">
      <c r="A46" s="455"/>
      <c r="B46" s="833">
        <f>'Registro Tratado'!W370</f>
        <v>360.84</v>
      </c>
      <c r="C46" s="834"/>
      <c r="D46" s="834"/>
      <c r="E46" s="834"/>
      <c r="F46" s="834"/>
      <c r="G46" s="834"/>
      <c r="H46" s="832">
        <f>'Registro Tratado'!X370</f>
        <v>362.02421700199284</v>
      </c>
      <c r="I46" s="832"/>
      <c r="J46" s="832"/>
      <c r="K46" s="832"/>
      <c r="L46" s="832"/>
      <c r="M46" s="832"/>
      <c r="N46" s="837">
        <f t="shared" si="0"/>
        <v>1.2</v>
      </c>
      <c r="O46" s="837"/>
      <c r="P46" s="837"/>
      <c r="Q46" s="837">
        <f>'Incerteza Lambda'!AD$18</f>
        <v>0.79999999999999993</v>
      </c>
      <c r="R46" s="837"/>
      <c r="S46" s="837"/>
      <c r="T46" s="902">
        <f>'Incerteza Lambda'!AO18</f>
        <v>4.5265507600819923</v>
      </c>
      <c r="U46" s="902"/>
      <c r="V46" s="902"/>
      <c r="W46" s="902"/>
      <c r="X46" s="902"/>
      <c r="Y46" s="902"/>
      <c r="Z46" s="841">
        <f>'Incerteza Lambda'!AO16</f>
        <v>2.2134149743640186</v>
      </c>
      <c r="AA46" s="842"/>
      <c r="AB46" s="842"/>
      <c r="AC46" s="842"/>
      <c r="AD46" s="842"/>
      <c r="AE46" s="842"/>
      <c r="AF46" s="842"/>
      <c r="AG46" s="393"/>
      <c r="AH46" s="457"/>
      <c r="AI46" s="429"/>
      <c r="AJ46" s="429"/>
      <c r="AK46" s="698"/>
      <c r="AL46" s="698"/>
      <c r="AM46" s="698"/>
      <c r="AN46" s="698"/>
      <c r="AO46" s="429"/>
      <c r="AP46" s="429"/>
      <c r="AQ46" s="429"/>
    </row>
    <row r="47" spans="1:43" ht="15" customHeight="1">
      <c r="A47" s="455"/>
      <c r="B47" s="833">
        <f>'Registro Tratado'!W371</f>
        <v>418.68</v>
      </c>
      <c r="C47" s="834"/>
      <c r="D47" s="834"/>
      <c r="E47" s="834"/>
      <c r="F47" s="834"/>
      <c r="G47" s="834"/>
      <c r="H47" s="832">
        <f>'Registro Tratado'!X371</f>
        <v>418.74625548463774</v>
      </c>
      <c r="I47" s="832"/>
      <c r="J47" s="832"/>
      <c r="K47" s="832"/>
      <c r="L47" s="832"/>
      <c r="M47" s="832"/>
      <c r="N47" s="837">
        <f t="shared" si="0"/>
        <v>0</v>
      </c>
      <c r="O47" s="837"/>
      <c r="P47" s="837"/>
      <c r="Q47" s="837">
        <f>'Incerteza Lambda'!AE$18</f>
        <v>0.2</v>
      </c>
      <c r="R47" s="837"/>
      <c r="S47" s="837"/>
      <c r="T47" s="902">
        <f>'Incerteza Lambda'!AP18</f>
        <v>2</v>
      </c>
      <c r="U47" s="902"/>
      <c r="V47" s="902"/>
      <c r="W47" s="902"/>
      <c r="X47" s="902"/>
      <c r="Y47" s="902"/>
      <c r="Z47" s="835" t="str">
        <f>'Incerteza Lambda'!AP16</f>
        <v>∞</v>
      </c>
      <c r="AA47" s="836"/>
      <c r="AB47" s="836"/>
      <c r="AC47" s="836"/>
      <c r="AD47" s="836"/>
      <c r="AE47" s="836"/>
      <c r="AF47" s="836"/>
      <c r="AG47" s="393"/>
      <c r="AH47" s="457"/>
      <c r="AI47" s="429"/>
      <c r="AJ47" s="429"/>
      <c r="AK47" s="698"/>
      <c r="AL47" s="698"/>
      <c r="AM47" s="698"/>
      <c r="AN47" s="698"/>
      <c r="AO47" s="429"/>
      <c r="AP47" s="429"/>
      <c r="AQ47" s="429"/>
    </row>
    <row r="48" spans="1:43" ht="15" customHeight="1">
      <c r="A48" s="455"/>
      <c r="B48" s="833">
        <f>'Registro Tratado'!W372</f>
        <v>445.68</v>
      </c>
      <c r="C48" s="834"/>
      <c r="D48" s="834"/>
      <c r="E48" s="834"/>
      <c r="F48" s="834"/>
      <c r="G48" s="834"/>
      <c r="H48" s="832">
        <f>'Registro Tratado'!X372</f>
        <v>447.00769723884832</v>
      </c>
      <c r="I48" s="832"/>
      <c r="J48" s="832"/>
      <c r="K48" s="832"/>
      <c r="L48" s="832"/>
      <c r="M48" s="832"/>
      <c r="N48" s="837">
        <f t="shared" si="0"/>
        <v>1.3</v>
      </c>
      <c r="O48" s="837"/>
      <c r="P48" s="837"/>
      <c r="Q48" s="837">
        <f>'Incerteza Lambda'!AF$18</f>
        <v>0.2</v>
      </c>
      <c r="R48" s="837"/>
      <c r="S48" s="837"/>
      <c r="T48" s="902">
        <f>'Incerteza Lambda'!AQ$18</f>
        <v>2</v>
      </c>
      <c r="U48" s="902"/>
      <c r="V48" s="902"/>
      <c r="W48" s="902"/>
      <c r="X48" s="902"/>
      <c r="Y48" s="902"/>
      <c r="Z48" s="835" t="str">
        <f>'Incerteza Lambda'!AQ16</f>
        <v>∞</v>
      </c>
      <c r="AA48" s="836"/>
      <c r="AB48" s="836"/>
      <c r="AC48" s="836"/>
      <c r="AD48" s="836"/>
      <c r="AE48" s="836"/>
      <c r="AF48" s="836"/>
      <c r="AG48" s="393"/>
      <c r="AH48" s="457"/>
      <c r="AI48" s="429"/>
      <c r="AJ48" s="429"/>
      <c r="AK48" s="698"/>
      <c r="AL48" s="698"/>
      <c r="AM48" s="698"/>
      <c r="AN48" s="698"/>
      <c r="AO48" s="429"/>
      <c r="AP48" s="429"/>
      <c r="AQ48" s="429"/>
    </row>
    <row r="49" spans="1:47" ht="15" customHeight="1">
      <c r="A49" s="455"/>
      <c r="B49" s="833">
        <f>'Registro Tratado'!W374</f>
        <v>460.18</v>
      </c>
      <c r="C49" s="834"/>
      <c r="D49" s="834"/>
      <c r="E49" s="834"/>
      <c r="F49" s="834"/>
      <c r="G49" s="834"/>
      <c r="H49" s="832">
        <f>'Registro Tratado'!X374</f>
        <v>460.62101891253957</v>
      </c>
      <c r="I49" s="832"/>
      <c r="J49" s="832"/>
      <c r="K49" s="832"/>
      <c r="L49" s="832"/>
      <c r="M49" s="832"/>
      <c r="N49" s="837">
        <f t="shared" si="0"/>
        <v>0.4</v>
      </c>
      <c r="O49" s="837"/>
      <c r="P49" s="837"/>
      <c r="Q49" s="837">
        <f>'Incerteza Lambda'!AH$18</f>
        <v>2.8</v>
      </c>
      <c r="R49" s="837"/>
      <c r="S49" s="837"/>
      <c r="T49" s="902">
        <f>'Incerteza Lambda'!AS$18</f>
        <v>13.967811487502582</v>
      </c>
      <c r="U49" s="902"/>
      <c r="V49" s="902"/>
      <c r="W49" s="902"/>
      <c r="X49" s="902"/>
      <c r="Y49" s="902"/>
      <c r="Z49" s="841">
        <f>'Incerteza Lambda'!AS16</f>
        <v>1.6878522434109178</v>
      </c>
      <c r="AA49" s="842"/>
      <c r="AB49" s="842"/>
      <c r="AC49" s="842"/>
      <c r="AD49" s="842"/>
      <c r="AE49" s="842"/>
      <c r="AF49" s="842"/>
      <c r="AG49" s="393"/>
      <c r="AH49" s="457"/>
      <c r="AI49" s="429"/>
      <c r="AJ49" s="429"/>
      <c r="AK49" s="698"/>
      <c r="AL49" s="698"/>
      <c r="AM49" s="698"/>
      <c r="AN49" s="698"/>
      <c r="AO49" s="429"/>
      <c r="AP49" s="429"/>
      <c r="AQ49" s="429"/>
    </row>
    <row r="50" spans="1:47" ht="15" customHeight="1">
      <c r="A50" s="455"/>
      <c r="B50" s="833">
        <f>'Registro Tratado'!W375</f>
        <v>536.6</v>
      </c>
      <c r="C50" s="834"/>
      <c r="D50" s="834"/>
      <c r="E50" s="834"/>
      <c r="F50" s="834"/>
      <c r="G50" s="834"/>
      <c r="H50" s="832">
        <f>'Registro Tratado'!X375</f>
        <v>537.36992007718197</v>
      </c>
      <c r="I50" s="832"/>
      <c r="J50" s="832"/>
      <c r="K50" s="832"/>
      <c r="L50" s="832"/>
      <c r="M50" s="832"/>
      <c r="N50" s="837">
        <f t="shared" si="0"/>
        <v>0.8</v>
      </c>
      <c r="O50" s="837"/>
      <c r="P50" s="837"/>
      <c r="Q50" s="837">
        <f>'Incerteza Lambda'!AI$18</f>
        <v>0.7</v>
      </c>
      <c r="R50" s="837"/>
      <c r="S50" s="837"/>
      <c r="T50" s="902">
        <f>'Incerteza Lambda'!AT$18</f>
        <v>4.5265507600819923</v>
      </c>
      <c r="U50" s="902"/>
      <c r="V50" s="902"/>
      <c r="W50" s="902"/>
      <c r="X50" s="902"/>
      <c r="Y50" s="902"/>
      <c r="Z50" s="841">
        <f>'Incerteza Lambda'!AT16</f>
        <v>2.8377331989151453</v>
      </c>
      <c r="AA50" s="842"/>
      <c r="AB50" s="842"/>
      <c r="AC50" s="842"/>
      <c r="AD50" s="842"/>
      <c r="AE50" s="842"/>
      <c r="AF50" s="842"/>
      <c r="AG50" s="393"/>
      <c r="AH50" s="457"/>
      <c r="AI50" s="429"/>
      <c r="AJ50" s="429"/>
      <c r="AK50" s="698"/>
      <c r="AL50" s="698"/>
      <c r="AM50" s="698"/>
      <c r="AN50" s="698"/>
      <c r="AO50" s="429"/>
      <c r="AP50" s="429"/>
      <c r="AQ50" s="429"/>
    </row>
    <row r="51" spans="1:47" ht="15" customHeight="1">
      <c r="A51" s="455"/>
      <c r="B51" s="900">
        <f>'Registro Tratado'!W376</f>
        <v>637.51</v>
      </c>
      <c r="C51" s="901"/>
      <c r="D51" s="901"/>
      <c r="E51" s="901"/>
      <c r="F51" s="901"/>
      <c r="G51" s="901"/>
      <c r="H51" s="971">
        <f>'Registro Tratado'!X376</f>
        <v>638.50935065158933</v>
      </c>
      <c r="I51" s="971"/>
      <c r="J51" s="971"/>
      <c r="K51" s="971"/>
      <c r="L51" s="971"/>
      <c r="M51" s="971"/>
      <c r="N51" s="863">
        <f t="shared" si="0"/>
        <v>1</v>
      </c>
      <c r="O51" s="863"/>
      <c r="P51" s="863"/>
      <c r="Q51" s="863">
        <f>'Incerteza Lambda'!AJ$18</f>
        <v>0.2</v>
      </c>
      <c r="R51" s="863"/>
      <c r="S51" s="863"/>
      <c r="T51" s="972">
        <f>'Incerteza Lambda'!AU$18</f>
        <v>2.0086001480715878</v>
      </c>
      <c r="U51" s="972"/>
      <c r="V51" s="972"/>
      <c r="W51" s="972"/>
      <c r="X51" s="972"/>
      <c r="Y51" s="972"/>
      <c r="Z51" s="897">
        <f>'Incerteza Lambda'!AU16</f>
        <v>292.23521249894446</v>
      </c>
      <c r="AA51" s="898"/>
      <c r="AB51" s="898"/>
      <c r="AC51" s="898"/>
      <c r="AD51" s="898"/>
      <c r="AE51" s="898"/>
      <c r="AF51" s="898"/>
      <c r="AG51" s="393"/>
      <c r="AH51" s="457"/>
      <c r="AI51" s="429"/>
      <c r="AJ51" s="429"/>
      <c r="AK51" s="698"/>
      <c r="AL51" s="698"/>
      <c r="AM51" s="698"/>
      <c r="AN51" s="698"/>
      <c r="AO51" s="429"/>
      <c r="AP51" s="429"/>
      <c r="AQ51" s="429"/>
    </row>
    <row r="52" spans="1:47" ht="15" customHeight="1">
      <c r="A52" s="455"/>
      <c r="B52" s="839"/>
      <c r="C52" s="839"/>
      <c r="D52" s="839"/>
      <c r="E52" s="839"/>
      <c r="F52" s="839"/>
      <c r="G52" s="839"/>
      <c r="H52" s="839"/>
      <c r="I52" s="839"/>
      <c r="J52" s="839"/>
      <c r="K52" s="839"/>
      <c r="L52" s="839"/>
      <c r="M52" s="839"/>
      <c r="N52" s="839"/>
      <c r="O52" s="839"/>
      <c r="P52" s="839"/>
      <c r="Q52" s="839"/>
      <c r="R52" s="839"/>
      <c r="S52" s="839"/>
      <c r="T52" s="839"/>
      <c r="U52" s="839"/>
      <c r="V52" s="839"/>
      <c r="W52" s="839"/>
      <c r="X52" s="839"/>
      <c r="Y52" s="839"/>
      <c r="Z52" s="839"/>
      <c r="AA52" s="839"/>
      <c r="AB52" s="839"/>
      <c r="AC52" s="839"/>
      <c r="AD52" s="839"/>
      <c r="AE52" s="839"/>
      <c r="AF52" s="839"/>
      <c r="AG52" s="393"/>
      <c r="AH52" s="457"/>
      <c r="AI52" s="440"/>
      <c r="AJ52" s="440"/>
      <c r="AK52" s="440"/>
      <c r="AL52" s="440"/>
      <c r="AM52" s="440"/>
      <c r="AN52" s="440"/>
      <c r="AO52" s="440"/>
      <c r="AP52" s="440"/>
      <c r="AQ52" s="440"/>
    </row>
    <row r="53" spans="1:47" ht="15" customHeight="1">
      <c r="A53" s="455"/>
      <c r="B53" s="899" t="s">
        <v>300</v>
      </c>
      <c r="C53" s="899"/>
      <c r="D53" s="899"/>
      <c r="E53" s="899"/>
      <c r="F53" s="899"/>
      <c r="G53" s="899"/>
      <c r="H53" s="899"/>
      <c r="I53" s="899"/>
      <c r="J53" s="899"/>
      <c r="K53" s="899"/>
      <c r="L53" s="899"/>
      <c r="M53" s="899"/>
      <c r="N53" s="899"/>
      <c r="O53" s="899"/>
      <c r="P53" s="899"/>
      <c r="Q53" s="899"/>
      <c r="R53" s="899"/>
      <c r="S53" s="899"/>
      <c r="T53" s="899"/>
      <c r="U53" s="899"/>
      <c r="V53" s="899"/>
      <c r="W53" s="899"/>
      <c r="X53" s="899"/>
      <c r="Y53" s="899"/>
      <c r="Z53" s="899"/>
      <c r="AA53" s="899"/>
      <c r="AB53" s="899"/>
      <c r="AC53" s="899"/>
      <c r="AD53" s="899"/>
      <c r="AE53" s="899"/>
      <c r="AF53" s="899"/>
      <c r="AG53" s="393"/>
      <c r="AH53" s="457"/>
      <c r="AI53" s="440"/>
      <c r="AJ53" s="440"/>
      <c r="AK53" s="440"/>
      <c r="AL53" s="440"/>
      <c r="AM53" s="440"/>
      <c r="AN53" s="440"/>
      <c r="AO53" s="440"/>
      <c r="AP53" s="440"/>
      <c r="AQ53" s="440"/>
    </row>
    <row r="54" spans="1:47" ht="4.5" customHeight="1">
      <c r="A54" s="455"/>
      <c r="B54" s="456"/>
      <c r="C54" s="456"/>
      <c r="D54" s="456"/>
      <c r="E54" s="456"/>
      <c r="F54" s="456"/>
      <c r="G54" s="456"/>
      <c r="H54" s="456"/>
      <c r="I54" s="456"/>
      <c r="J54" s="456"/>
      <c r="K54" s="456"/>
      <c r="L54" s="456"/>
      <c r="M54" s="456"/>
      <c r="N54" s="456"/>
      <c r="O54" s="456"/>
      <c r="P54" s="456"/>
      <c r="Q54" s="456"/>
      <c r="R54" s="456"/>
      <c r="S54" s="456"/>
      <c r="T54" s="456"/>
      <c r="U54" s="456"/>
      <c r="V54" s="456"/>
      <c r="W54" s="456"/>
      <c r="X54" s="391"/>
      <c r="Y54" s="391"/>
      <c r="Z54" s="391"/>
      <c r="AA54" s="391"/>
      <c r="AB54" s="391"/>
      <c r="AC54" s="392"/>
      <c r="AD54" s="391"/>
      <c r="AE54" s="391"/>
      <c r="AF54" s="391"/>
      <c r="AG54" s="393"/>
      <c r="AH54" s="457"/>
      <c r="AI54" s="440"/>
      <c r="AJ54" s="440"/>
      <c r="AK54" s="440"/>
      <c r="AL54" s="440"/>
      <c r="AM54" s="440"/>
      <c r="AN54" s="440"/>
      <c r="AO54" s="440"/>
      <c r="AP54" s="440"/>
      <c r="AQ54" s="440"/>
    </row>
    <row r="55" spans="1:47" ht="15" customHeight="1">
      <c r="A55" s="455"/>
      <c r="B55" s="870" t="str">
        <f>CONCATENATE("Tabela 2                                                                  Padrão de Densidade Neutra - Absorbância Nominal 0,25 A - Largura de Banda ", $Q$17, " nm")</f>
        <v>Tabela 2                                                                  Padrão de Densidade Neutra - Absorbância Nominal 0,25 A - Largura de Banda 5 nm</v>
      </c>
      <c r="C55" s="870"/>
      <c r="D55" s="870"/>
      <c r="E55" s="870"/>
      <c r="F55" s="870"/>
      <c r="G55" s="870"/>
      <c r="H55" s="870"/>
      <c r="I55" s="870"/>
      <c r="J55" s="870"/>
      <c r="K55" s="870"/>
      <c r="L55" s="870"/>
      <c r="M55" s="870"/>
      <c r="N55" s="870"/>
      <c r="O55" s="870"/>
      <c r="P55" s="870"/>
      <c r="Q55" s="870"/>
      <c r="R55" s="870"/>
      <c r="S55" s="870"/>
      <c r="T55" s="870"/>
      <c r="U55" s="870"/>
      <c r="V55" s="870"/>
      <c r="W55" s="870"/>
      <c r="X55" s="870"/>
      <c r="Y55" s="870"/>
      <c r="Z55" s="870"/>
      <c r="AA55" s="870"/>
      <c r="AB55" s="870"/>
      <c r="AC55" s="870"/>
      <c r="AD55" s="870"/>
      <c r="AE55" s="870"/>
      <c r="AF55" s="870"/>
      <c r="AG55" s="393"/>
      <c r="AH55" s="457"/>
      <c r="AI55" s="440"/>
      <c r="AJ55" s="440"/>
      <c r="AK55" s="440"/>
      <c r="AL55" s="440"/>
      <c r="AM55" s="440"/>
      <c r="AN55" s="440"/>
      <c r="AO55" s="440"/>
      <c r="AP55" s="440"/>
      <c r="AQ55" s="440"/>
      <c r="AT55" s="528" t="s">
        <v>319</v>
      </c>
      <c r="AU55" s="528" t="s">
        <v>320</v>
      </c>
    </row>
    <row r="56" spans="1:47" ht="15" customHeight="1">
      <c r="A56" s="455"/>
      <c r="B56" s="871" t="s">
        <v>267</v>
      </c>
      <c r="C56" s="871"/>
      <c r="D56" s="871"/>
      <c r="E56" s="872"/>
      <c r="F56" s="875" t="s">
        <v>331</v>
      </c>
      <c r="G56" s="871"/>
      <c r="H56" s="871"/>
      <c r="I56" s="872"/>
      <c r="J56" s="875" t="s">
        <v>332</v>
      </c>
      <c r="K56" s="871"/>
      <c r="L56" s="871"/>
      <c r="M56" s="872"/>
      <c r="N56" s="877" t="s">
        <v>99</v>
      </c>
      <c r="O56" s="877"/>
      <c r="P56" s="877"/>
      <c r="Q56" s="877" t="s">
        <v>269</v>
      </c>
      <c r="R56" s="877"/>
      <c r="S56" s="877"/>
      <c r="T56" s="878" t="s">
        <v>270</v>
      </c>
      <c r="U56" s="878"/>
      <c r="V56" s="878"/>
      <c r="W56" s="878"/>
      <c r="X56" s="878"/>
      <c r="Y56" s="878"/>
      <c r="Z56" s="879" t="s">
        <v>301</v>
      </c>
      <c r="AA56" s="880"/>
      <c r="AB56" s="880"/>
      <c r="AC56" s="880"/>
      <c r="AD56" s="880"/>
      <c r="AE56" s="880"/>
      <c r="AF56" s="880"/>
      <c r="AG56" s="393"/>
      <c r="AH56" s="457"/>
      <c r="AI56" s="440"/>
      <c r="AJ56" s="440"/>
      <c r="AK56" s="440"/>
      <c r="AL56" s="440"/>
      <c r="AM56" s="440"/>
      <c r="AN56" s="440"/>
      <c r="AO56" s="440"/>
      <c r="AP56" s="440"/>
      <c r="AQ56" s="440"/>
      <c r="AT56" s="473">
        <v>0.25</v>
      </c>
      <c r="AU56" s="473">
        <v>5</v>
      </c>
    </row>
    <row r="57" spans="1:47" ht="15" customHeight="1">
      <c r="A57" s="455"/>
      <c r="B57" s="873"/>
      <c r="C57" s="873"/>
      <c r="D57" s="873"/>
      <c r="E57" s="874"/>
      <c r="F57" s="876"/>
      <c r="G57" s="873"/>
      <c r="H57" s="873"/>
      <c r="I57" s="874"/>
      <c r="J57" s="876"/>
      <c r="K57" s="873"/>
      <c r="L57" s="873"/>
      <c r="M57" s="874"/>
      <c r="N57" s="878" t="s">
        <v>333</v>
      </c>
      <c r="O57" s="878"/>
      <c r="P57" s="878"/>
      <c r="Q57" s="878" t="s">
        <v>333</v>
      </c>
      <c r="R57" s="878"/>
      <c r="S57" s="878"/>
      <c r="T57" s="878" t="s">
        <v>298</v>
      </c>
      <c r="U57" s="878"/>
      <c r="V57" s="878"/>
      <c r="W57" s="878"/>
      <c r="X57" s="878"/>
      <c r="Y57" s="878"/>
      <c r="Z57" s="881" t="s">
        <v>158</v>
      </c>
      <c r="AA57" s="882"/>
      <c r="AB57" s="882"/>
      <c r="AC57" s="882"/>
      <c r="AD57" s="882"/>
      <c r="AE57" s="882"/>
      <c r="AF57" s="882"/>
      <c r="AG57" s="393"/>
      <c r="AH57" s="457"/>
      <c r="AI57" s="440"/>
      <c r="AK57" s="440"/>
      <c r="AL57" s="440"/>
      <c r="AM57" s="440"/>
      <c r="AN57" s="440"/>
      <c r="AO57" s="440"/>
      <c r="AP57" s="440"/>
      <c r="AQ57" s="440"/>
    </row>
    <row r="58" spans="1:47" ht="15" customHeight="1">
      <c r="A58" s="455"/>
      <c r="B58" s="844">
        <f>'Registro Tratado'!N$363</f>
        <v>440</v>
      </c>
      <c r="C58" s="844"/>
      <c r="D58" s="844"/>
      <c r="E58" s="845"/>
      <c r="F58" s="846">
        <f>'Registro Tratado'!N364</f>
        <v>0.26629999999999998</v>
      </c>
      <c r="G58" s="847"/>
      <c r="H58" s="847"/>
      <c r="I58" s="848"/>
      <c r="J58" s="849">
        <f>'Registro Tratado'!N$368</f>
        <v>0.26724999999999999</v>
      </c>
      <c r="K58" s="850"/>
      <c r="L58" s="850"/>
      <c r="M58" s="851"/>
      <c r="N58" s="852">
        <f>ROUND(ROUND(J58,3)-F58, 3)</f>
        <v>1E-3</v>
      </c>
      <c r="O58" s="852"/>
      <c r="P58" s="852"/>
      <c r="Q58" s="852">
        <f ca="1">'Incerteza Absorbância'!T$16</f>
        <v>4.7154802014545139E-3</v>
      </c>
      <c r="R58" s="852"/>
      <c r="S58" s="852"/>
      <c r="T58" s="837">
        <f ca="1">'Incerteza Absorbância'!Y17</f>
        <v>2.0456384814053692</v>
      </c>
      <c r="U58" s="837"/>
      <c r="V58" s="837"/>
      <c r="W58" s="837"/>
      <c r="X58" s="837"/>
      <c r="Y58" s="837"/>
      <c r="Z58" s="835">
        <f ca="1">'Incerteza Absorbância'!Y$15</f>
        <v>56.064489241474433</v>
      </c>
      <c r="AA58" s="853"/>
      <c r="AB58" s="853"/>
      <c r="AC58" s="853"/>
      <c r="AD58" s="853"/>
      <c r="AE58" s="853"/>
      <c r="AF58" s="853"/>
      <c r="AG58" s="393"/>
      <c r="AH58" s="457"/>
      <c r="AI58" s="440"/>
      <c r="AJ58" s="440"/>
      <c r="AK58" s="440"/>
      <c r="AL58" s="440"/>
      <c r="AM58" s="440"/>
      <c r="AN58" s="440"/>
      <c r="AO58" s="440"/>
      <c r="AP58" s="440"/>
      <c r="AQ58" s="440"/>
      <c r="AT58" s="440" t="e">
        <f>HLOOKUP(AT56, 'Incerteza Absorbância'!$L$6:$AC$85, MATCH("5",  'Incerteza Absorbância'!$L$3:$AC$85,0) + 8)</f>
        <v>#N/A</v>
      </c>
    </row>
    <row r="59" spans="1:47" ht="15" customHeight="1">
      <c r="A59" s="455"/>
      <c r="B59" s="844">
        <f>'Registro Tratado'!O$363</f>
        <v>465</v>
      </c>
      <c r="C59" s="844"/>
      <c r="D59" s="844"/>
      <c r="E59" s="845"/>
      <c r="F59" s="846">
        <f>'Registro Tratado'!O364</f>
        <v>0.24030000000000001</v>
      </c>
      <c r="G59" s="847"/>
      <c r="H59" s="847"/>
      <c r="I59" s="848"/>
      <c r="J59" s="849">
        <f>'Registro Tratado'!O$368</f>
        <v>0.24775</v>
      </c>
      <c r="K59" s="850"/>
      <c r="L59" s="850"/>
      <c r="M59" s="851"/>
      <c r="N59" s="852">
        <f t="shared" ref="N59:N62" si="1">ROUND(ROUND(J59,3)-F59, 3)</f>
        <v>8.0000000000000002E-3</v>
      </c>
      <c r="O59" s="852"/>
      <c r="P59" s="852"/>
      <c r="Q59" s="852">
        <f ca="1">'Incerteza Absorbância'!U$16</f>
        <v>4.1587299845023658E-3</v>
      </c>
      <c r="R59" s="852"/>
      <c r="S59" s="852"/>
      <c r="T59" s="837">
        <f ca="1">'Incerteza Absorbância'!Z17</f>
        <v>2.002359218102745</v>
      </c>
      <c r="U59" s="837"/>
      <c r="V59" s="837"/>
      <c r="W59" s="837"/>
      <c r="X59" s="837"/>
      <c r="Y59" s="837"/>
      <c r="Z59" s="835">
        <f ca="1">'Incerteza Absorbância'!Z$15</f>
        <v>1062.9021561704578</v>
      </c>
      <c r="AA59" s="853"/>
      <c r="AB59" s="853"/>
      <c r="AC59" s="853"/>
      <c r="AD59" s="853"/>
      <c r="AE59" s="853"/>
      <c r="AF59" s="853"/>
      <c r="AG59" s="393"/>
      <c r="AH59" s="457"/>
      <c r="AI59" s="440"/>
      <c r="AJ59" s="440"/>
      <c r="AK59" s="440"/>
      <c r="AL59" s="440"/>
      <c r="AM59" s="440"/>
      <c r="AN59" s="440"/>
      <c r="AO59" s="440"/>
      <c r="AP59" s="440"/>
      <c r="AQ59" s="440"/>
    </row>
    <row r="60" spans="1:47" ht="15" customHeight="1">
      <c r="A60" s="455"/>
      <c r="B60" s="844">
        <f>'Registro Tratado'!P$363</f>
        <v>546.1</v>
      </c>
      <c r="C60" s="844"/>
      <c r="D60" s="844"/>
      <c r="E60" s="845"/>
      <c r="F60" s="846">
        <f>'Registro Tratado'!P364</f>
        <v>0.24990000000000001</v>
      </c>
      <c r="G60" s="847"/>
      <c r="H60" s="847"/>
      <c r="I60" s="848"/>
      <c r="J60" s="849">
        <f>'Registro Tratado'!P$368</f>
        <v>0.24975</v>
      </c>
      <c r="K60" s="850"/>
      <c r="L60" s="850"/>
      <c r="M60" s="851"/>
      <c r="N60" s="852">
        <f t="shared" si="1"/>
        <v>0</v>
      </c>
      <c r="O60" s="852"/>
      <c r="P60" s="852"/>
      <c r="Q60" s="852">
        <f ca="1">'Incerteza Absorbância'!V$16</f>
        <v>4.0728988600629758E-3</v>
      </c>
      <c r="R60" s="852"/>
      <c r="S60" s="852"/>
      <c r="T60" s="837">
        <f ca="1">'Incerteza Absorbância'!AA17</f>
        <v>2.0001918129756588</v>
      </c>
      <c r="U60" s="837"/>
      <c r="V60" s="837"/>
      <c r="W60" s="837"/>
      <c r="X60" s="837"/>
      <c r="Y60" s="837"/>
      <c r="Z60" s="835">
        <f ca="1">'Incerteza Absorbância'!AA$15</f>
        <v>13203.502173624245</v>
      </c>
      <c r="AA60" s="853"/>
      <c r="AB60" s="853"/>
      <c r="AC60" s="853"/>
      <c r="AD60" s="853"/>
      <c r="AE60" s="853"/>
      <c r="AF60" s="853"/>
      <c r="AG60" s="393"/>
      <c r="AH60" s="457"/>
      <c r="AI60" s="440"/>
      <c r="AJ60" s="440"/>
      <c r="AK60" s="440"/>
      <c r="AL60" s="440"/>
      <c r="AM60" s="440"/>
      <c r="AN60" s="440"/>
      <c r="AO60" s="440"/>
      <c r="AP60" s="440"/>
      <c r="AQ60" s="440"/>
    </row>
    <row r="61" spans="1:47" ht="15" customHeight="1">
      <c r="A61" s="455"/>
      <c r="B61" s="844">
        <f>'Registro Tratado'!Q$363</f>
        <v>590</v>
      </c>
      <c r="C61" s="844"/>
      <c r="D61" s="844"/>
      <c r="E61" s="845"/>
      <c r="F61" s="846">
        <f>'Registro Tratado'!Q364</f>
        <v>0.29380000000000001</v>
      </c>
      <c r="G61" s="847"/>
      <c r="H61" s="847"/>
      <c r="I61" s="848"/>
      <c r="J61" s="849">
        <f>'Registro Tratado'!Q$368</f>
        <v>0.29174999999999995</v>
      </c>
      <c r="K61" s="850"/>
      <c r="L61" s="850"/>
      <c r="M61" s="851"/>
      <c r="N61" s="852">
        <f t="shared" si="1"/>
        <v>-2E-3</v>
      </c>
      <c r="O61" s="852"/>
      <c r="P61" s="852"/>
      <c r="Q61" s="852">
        <f ca="1">'Incerteza Absorbância'!W$16</f>
        <v>4.1583514972458316E-3</v>
      </c>
      <c r="R61" s="852"/>
      <c r="S61" s="852"/>
      <c r="T61" s="837">
        <f ca="1">'Incerteza Absorbância'!AB17</f>
        <v>2.002359218102745</v>
      </c>
      <c r="U61" s="837"/>
      <c r="V61" s="837"/>
      <c r="W61" s="837"/>
      <c r="X61" s="837"/>
      <c r="Y61" s="837"/>
      <c r="Z61" s="835">
        <f ca="1">'Incerteza Absorbância'!AB$15</f>
        <v>1062.5152688212788</v>
      </c>
      <c r="AA61" s="853"/>
      <c r="AB61" s="853"/>
      <c r="AC61" s="853"/>
      <c r="AD61" s="853"/>
      <c r="AE61" s="853"/>
      <c r="AF61" s="853"/>
      <c r="AG61" s="393"/>
      <c r="AH61" s="457"/>
      <c r="AI61" s="440"/>
      <c r="AJ61" s="440"/>
      <c r="AK61" s="440"/>
      <c r="AL61" s="440"/>
      <c r="AM61" s="440"/>
      <c r="AN61" s="440"/>
      <c r="AO61" s="440"/>
      <c r="AP61" s="440"/>
      <c r="AQ61" s="440"/>
    </row>
    <row r="62" spans="1:47" ht="15" customHeight="1">
      <c r="A62" s="455"/>
      <c r="B62" s="854">
        <f>'Registro Tratado'!R$363</f>
        <v>635</v>
      </c>
      <c r="C62" s="854"/>
      <c r="D62" s="854"/>
      <c r="E62" s="855"/>
      <c r="F62" s="856">
        <f>'Registro Tratado'!R364</f>
        <v>0.30159999999999998</v>
      </c>
      <c r="G62" s="857"/>
      <c r="H62" s="857"/>
      <c r="I62" s="858"/>
      <c r="J62" s="859">
        <f>'Registro Tratado'!R$368</f>
        <v>0.30124999999999996</v>
      </c>
      <c r="K62" s="860"/>
      <c r="L62" s="860"/>
      <c r="M62" s="861"/>
      <c r="N62" s="862">
        <f t="shared" si="1"/>
        <v>-1E-3</v>
      </c>
      <c r="O62" s="862"/>
      <c r="P62" s="862"/>
      <c r="Q62" s="862">
        <f ca="1">'Incerteza Absorbância'!X$16</f>
        <v>4.1538727777447665E-3</v>
      </c>
      <c r="R62" s="862"/>
      <c r="S62" s="862"/>
      <c r="T62" s="863">
        <f ca="1">'Incerteza Absorbância'!AC17</f>
        <v>2.0001918129756588</v>
      </c>
      <c r="U62" s="863"/>
      <c r="V62" s="863"/>
      <c r="W62" s="863"/>
      <c r="X62" s="863"/>
      <c r="Y62" s="863"/>
      <c r="Z62" s="864">
        <f ca="1">'Incerteza Absorbância'!AC$15</f>
        <v>13203.502173624245</v>
      </c>
      <c r="AA62" s="865"/>
      <c r="AB62" s="865"/>
      <c r="AC62" s="865"/>
      <c r="AD62" s="865"/>
      <c r="AE62" s="865"/>
      <c r="AF62" s="865"/>
      <c r="AG62" s="393"/>
      <c r="AH62" s="457"/>
      <c r="AI62" s="440"/>
      <c r="AJ62" s="440"/>
      <c r="AK62" s="440"/>
      <c r="AL62" s="440"/>
      <c r="AM62" s="440"/>
      <c r="AN62" s="440"/>
      <c r="AO62" s="440"/>
      <c r="AP62" s="440"/>
      <c r="AQ62" s="440"/>
    </row>
    <row r="63" spans="1:47" ht="15" customHeight="1">
      <c r="A63" s="455"/>
      <c r="B63" s="534"/>
      <c r="C63" s="534"/>
      <c r="D63" s="534"/>
      <c r="E63" s="534"/>
      <c r="F63" s="485"/>
      <c r="G63" s="485"/>
      <c r="H63" s="485"/>
      <c r="I63" s="485"/>
      <c r="J63" s="485"/>
      <c r="K63" s="485"/>
      <c r="L63" s="485"/>
      <c r="M63" s="485"/>
      <c r="N63" s="485"/>
      <c r="O63" s="484"/>
      <c r="P63" s="484"/>
      <c r="Q63" s="485"/>
      <c r="R63" s="485"/>
      <c r="S63" s="485"/>
      <c r="T63" s="483"/>
      <c r="U63" s="483"/>
      <c r="V63" s="483"/>
      <c r="W63" s="483"/>
      <c r="X63" s="483"/>
      <c r="Y63" s="483"/>
      <c r="Z63" s="535"/>
      <c r="AA63" s="535"/>
      <c r="AB63" s="535"/>
      <c r="AC63" s="535"/>
      <c r="AD63" s="535"/>
      <c r="AE63" s="535"/>
      <c r="AF63" s="535"/>
      <c r="AG63" s="393"/>
      <c r="AH63" s="457"/>
      <c r="AI63" s="475"/>
      <c r="AJ63" s="475"/>
      <c r="AK63" s="475"/>
      <c r="AL63" s="475"/>
      <c r="AM63" s="475"/>
      <c r="AN63" s="475"/>
      <c r="AO63" s="475"/>
      <c r="AP63" s="475"/>
      <c r="AQ63" s="475"/>
    </row>
    <row r="64" spans="1:47" ht="15" customHeight="1">
      <c r="A64" s="455"/>
      <c r="B64" s="870" t="str">
        <f xml:space="preserve"> CONCATENATE("Tabela 3                                                                  Padrão de Densidade Neutra - Absorbância Nominal 0,5 A  - Largura de Banda ", $Q$17, " nm")</f>
        <v>Tabela 3                                                                  Padrão de Densidade Neutra - Absorbância Nominal 0,5 A  - Largura de Banda 5 nm</v>
      </c>
      <c r="C64" s="870"/>
      <c r="D64" s="870"/>
      <c r="E64" s="870"/>
      <c r="F64" s="870"/>
      <c r="G64" s="870"/>
      <c r="H64" s="870"/>
      <c r="I64" s="870"/>
      <c r="J64" s="870"/>
      <c r="K64" s="870"/>
      <c r="L64" s="870"/>
      <c r="M64" s="870"/>
      <c r="N64" s="870"/>
      <c r="O64" s="870"/>
      <c r="P64" s="870"/>
      <c r="Q64" s="870"/>
      <c r="R64" s="870"/>
      <c r="S64" s="870"/>
      <c r="T64" s="870"/>
      <c r="U64" s="870"/>
      <c r="V64" s="870"/>
      <c r="W64" s="870"/>
      <c r="X64" s="870"/>
      <c r="Y64" s="870"/>
      <c r="Z64" s="870"/>
      <c r="AA64" s="870"/>
      <c r="AB64" s="870"/>
      <c r="AC64" s="870"/>
      <c r="AD64" s="870"/>
      <c r="AE64" s="870"/>
      <c r="AF64" s="870"/>
      <c r="AG64" s="393"/>
      <c r="AH64" s="457"/>
      <c r="AI64" s="475"/>
      <c r="AJ64" s="475"/>
      <c r="AK64" s="475"/>
      <c r="AL64" s="475"/>
      <c r="AM64" s="475"/>
      <c r="AN64" s="475"/>
      <c r="AO64" s="475"/>
      <c r="AP64" s="475"/>
      <c r="AQ64" s="475"/>
    </row>
    <row r="65" spans="1:43" ht="15" customHeight="1">
      <c r="A65" s="455"/>
      <c r="B65" s="871" t="s">
        <v>267</v>
      </c>
      <c r="C65" s="871"/>
      <c r="D65" s="871"/>
      <c r="E65" s="872"/>
      <c r="F65" s="875" t="s">
        <v>331</v>
      </c>
      <c r="G65" s="871"/>
      <c r="H65" s="871"/>
      <c r="I65" s="872"/>
      <c r="J65" s="875" t="s">
        <v>332</v>
      </c>
      <c r="K65" s="871"/>
      <c r="L65" s="871"/>
      <c r="M65" s="872"/>
      <c r="N65" s="877" t="s">
        <v>99</v>
      </c>
      <c r="O65" s="877"/>
      <c r="P65" s="877"/>
      <c r="Q65" s="877" t="s">
        <v>269</v>
      </c>
      <c r="R65" s="877"/>
      <c r="S65" s="877"/>
      <c r="T65" s="878" t="s">
        <v>270</v>
      </c>
      <c r="U65" s="878"/>
      <c r="V65" s="878"/>
      <c r="W65" s="878"/>
      <c r="X65" s="878"/>
      <c r="Y65" s="878"/>
      <c r="Z65" s="879" t="s">
        <v>301</v>
      </c>
      <c r="AA65" s="880"/>
      <c r="AB65" s="880"/>
      <c r="AC65" s="880"/>
      <c r="AD65" s="880"/>
      <c r="AE65" s="880"/>
      <c r="AF65" s="880"/>
      <c r="AG65" s="393"/>
      <c r="AH65" s="457"/>
      <c r="AI65" s="475"/>
      <c r="AJ65" s="475"/>
      <c r="AK65" s="475"/>
      <c r="AL65" s="475"/>
      <c r="AM65" s="475"/>
      <c r="AN65" s="475"/>
      <c r="AO65" s="475"/>
      <c r="AP65" s="475"/>
      <c r="AQ65" s="475"/>
    </row>
    <row r="66" spans="1:43" ht="15" customHeight="1">
      <c r="A66" s="455"/>
      <c r="B66" s="873"/>
      <c r="C66" s="873"/>
      <c r="D66" s="873"/>
      <c r="E66" s="874"/>
      <c r="F66" s="876"/>
      <c r="G66" s="873"/>
      <c r="H66" s="873"/>
      <c r="I66" s="874"/>
      <c r="J66" s="876"/>
      <c r="K66" s="873"/>
      <c r="L66" s="873"/>
      <c r="M66" s="874"/>
      <c r="N66" s="878" t="s">
        <v>333</v>
      </c>
      <c r="O66" s="878"/>
      <c r="P66" s="878"/>
      <c r="Q66" s="878" t="s">
        <v>333</v>
      </c>
      <c r="R66" s="878"/>
      <c r="S66" s="878"/>
      <c r="T66" s="878" t="s">
        <v>298</v>
      </c>
      <c r="U66" s="878"/>
      <c r="V66" s="878"/>
      <c r="W66" s="878"/>
      <c r="X66" s="878"/>
      <c r="Y66" s="878"/>
      <c r="Z66" s="881" t="s">
        <v>158</v>
      </c>
      <c r="AA66" s="882"/>
      <c r="AB66" s="882"/>
      <c r="AC66" s="882"/>
      <c r="AD66" s="882"/>
      <c r="AE66" s="882"/>
      <c r="AF66" s="882"/>
      <c r="AG66" s="393"/>
      <c r="AH66" s="457"/>
      <c r="AI66" s="475"/>
      <c r="AJ66" s="475"/>
      <c r="AK66" s="475"/>
      <c r="AL66" s="475"/>
      <c r="AM66" s="475"/>
      <c r="AN66" s="475"/>
      <c r="AO66" s="475"/>
      <c r="AP66" s="475"/>
      <c r="AQ66" s="475"/>
    </row>
    <row r="67" spans="1:43" ht="15" customHeight="1">
      <c r="A67" s="455"/>
      <c r="B67" s="844">
        <f>'Registro Tratado'!N$376</f>
        <v>440</v>
      </c>
      <c r="C67" s="844"/>
      <c r="D67" s="844"/>
      <c r="E67" s="845"/>
      <c r="F67" s="846">
        <f>'Registro Tratado'!N377</f>
        <v>0.55200000000000005</v>
      </c>
      <c r="G67" s="847"/>
      <c r="H67" s="847"/>
      <c r="I67" s="848"/>
      <c r="J67" s="849">
        <f>'Registro Tratado'!N$381</f>
        <v>0.55490000000000006</v>
      </c>
      <c r="K67" s="850"/>
      <c r="L67" s="850"/>
      <c r="M67" s="851"/>
      <c r="N67" s="852">
        <f>ROUND(ROUND(J67,3)-F67, 3)</f>
        <v>3.0000000000000001E-3</v>
      </c>
      <c r="O67" s="852"/>
      <c r="P67" s="852"/>
      <c r="Q67" s="883">
        <f ca="1">'Incerteza Absorbância'!T$29</f>
        <v>4.2728625652537862E-3</v>
      </c>
      <c r="R67" s="883"/>
      <c r="S67" s="883"/>
      <c r="T67" s="837">
        <f ca="1">'Incerteza Absorbância'!Y$30</f>
        <v>2.008046844961433</v>
      </c>
      <c r="U67" s="837"/>
      <c r="V67" s="837"/>
      <c r="W67" s="837"/>
      <c r="X67" s="837"/>
      <c r="Y67" s="837"/>
      <c r="Z67" s="835">
        <f ca="1">'Incerteza Absorbância'!Y$28</f>
        <v>312.92540176846467</v>
      </c>
      <c r="AA67" s="853"/>
      <c r="AB67" s="853"/>
      <c r="AC67" s="853"/>
      <c r="AD67" s="853"/>
      <c r="AE67" s="853"/>
      <c r="AF67" s="853"/>
      <c r="AG67" s="393"/>
      <c r="AH67" s="457"/>
      <c r="AI67" s="475"/>
      <c r="AJ67" s="475"/>
      <c r="AK67" s="475"/>
      <c r="AL67" s="475"/>
      <c r="AM67" s="475"/>
      <c r="AN67" s="475"/>
      <c r="AO67" s="475"/>
      <c r="AP67" s="475"/>
      <c r="AQ67" s="475"/>
    </row>
    <row r="68" spans="1:43" ht="15" customHeight="1">
      <c r="A68" s="455"/>
      <c r="B68" s="844">
        <f>'Registro Tratado'!O$376</f>
        <v>465</v>
      </c>
      <c r="C68" s="844"/>
      <c r="D68" s="844"/>
      <c r="E68" s="845"/>
      <c r="F68" s="846">
        <f>'Registro Tratado'!O377</f>
        <v>0.51339999999999997</v>
      </c>
      <c r="G68" s="847"/>
      <c r="H68" s="847"/>
      <c r="I68" s="848"/>
      <c r="J68" s="849">
        <f>'Registro Tratado'!O$381</f>
        <v>0.52166666666666661</v>
      </c>
      <c r="K68" s="850"/>
      <c r="L68" s="850"/>
      <c r="M68" s="851"/>
      <c r="N68" s="852">
        <f t="shared" ref="N68:N71" si="2">ROUND(ROUND(J68,3)-F68, 3)</f>
        <v>8.9999999999999993E-3</v>
      </c>
      <c r="O68" s="852"/>
      <c r="P68" s="852"/>
      <c r="Q68" s="883">
        <f ca="1">'Incerteza Absorbância'!U$29</f>
        <v>4.1551027654654843E-3</v>
      </c>
      <c r="R68" s="883"/>
      <c r="S68" s="883"/>
      <c r="T68" s="837">
        <f ca="1">'Incerteza Absorbância'!Z$30</f>
        <v>2.0022251170943606</v>
      </c>
      <c r="U68" s="837"/>
      <c r="V68" s="837"/>
      <c r="W68" s="837"/>
      <c r="X68" s="837"/>
      <c r="Y68" s="837"/>
      <c r="Z68" s="835">
        <f ca="1">'Incerteza Absorbância'!Z$28</f>
        <v>1126.7348811694953</v>
      </c>
      <c r="AA68" s="853"/>
      <c r="AB68" s="853"/>
      <c r="AC68" s="853"/>
      <c r="AD68" s="853"/>
      <c r="AE68" s="853"/>
      <c r="AF68" s="853"/>
      <c r="AG68" s="393"/>
      <c r="AH68" s="457"/>
      <c r="AI68" s="475"/>
      <c r="AJ68" s="475"/>
      <c r="AK68" s="475"/>
      <c r="AL68" s="475"/>
      <c r="AM68" s="475"/>
      <c r="AN68" s="475"/>
      <c r="AO68" s="475"/>
      <c r="AP68" s="475"/>
      <c r="AQ68" s="475"/>
    </row>
    <row r="69" spans="1:43" ht="15" customHeight="1">
      <c r="A69" s="455"/>
      <c r="B69" s="844">
        <f>'Registro Tratado'!P$376</f>
        <v>546.1</v>
      </c>
      <c r="C69" s="844"/>
      <c r="D69" s="844"/>
      <c r="E69" s="845"/>
      <c r="F69" s="846">
        <f>'Registro Tratado'!P377</f>
        <v>0.51170000000000004</v>
      </c>
      <c r="G69" s="847"/>
      <c r="H69" s="847"/>
      <c r="I69" s="848"/>
      <c r="J69" s="849">
        <f>'Registro Tratado'!P$381</f>
        <v>0.51249999999999996</v>
      </c>
      <c r="K69" s="850"/>
      <c r="L69" s="850"/>
      <c r="M69" s="851"/>
      <c r="N69" s="852">
        <f t="shared" si="2"/>
        <v>1E-3</v>
      </c>
      <c r="O69" s="852"/>
      <c r="P69" s="852"/>
      <c r="Q69" s="883">
        <f ca="1">'Incerteza Absorbância'!V$29</f>
        <v>4.0834121313555703E-3</v>
      </c>
      <c r="R69" s="883"/>
      <c r="S69" s="883"/>
      <c r="T69" s="837">
        <f ca="1">'Incerteza Absorbância'!AA$30</f>
        <v>2.0003357882903599</v>
      </c>
      <c r="U69" s="837"/>
      <c r="V69" s="837"/>
      <c r="W69" s="837"/>
      <c r="X69" s="837"/>
      <c r="Y69" s="837"/>
      <c r="Z69" s="835">
        <f ca="1">'Incerteza Absorbância'!AA$28</f>
        <v>7501.7914292752057</v>
      </c>
      <c r="AA69" s="853"/>
      <c r="AB69" s="853"/>
      <c r="AC69" s="853"/>
      <c r="AD69" s="853"/>
      <c r="AE69" s="853"/>
      <c r="AF69" s="853"/>
      <c r="AG69" s="393"/>
      <c r="AH69" s="457"/>
      <c r="AI69" s="475"/>
      <c r="AJ69" s="475"/>
      <c r="AK69" s="475"/>
      <c r="AL69" s="475"/>
      <c r="AM69" s="475"/>
      <c r="AN69" s="475"/>
      <c r="AO69" s="475"/>
      <c r="AP69" s="475"/>
      <c r="AQ69" s="475"/>
    </row>
    <row r="70" spans="1:43" ht="15" customHeight="1">
      <c r="A70" s="455"/>
      <c r="B70" s="844">
        <f>'Registro Tratado'!Q$376</f>
        <v>590</v>
      </c>
      <c r="C70" s="844"/>
      <c r="D70" s="844"/>
      <c r="E70" s="845"/>
      <c r="F70" s="846">
        <f>'Registro Tratado'!Q377</f>
        <v>0.54500000000000004</v>
      </c>
      <c r="G70" s="847"/>
      <c r="H70" s="847"/>
      <c r="I70" s="848"/>
      <c r="J70" s="849">
        <f>'Registro Tratado'!Q$381</f>
        <v>0.54425000000000012</v>
      </c>
      <c r="K70" s="850"/>
      <c r="L70" s="850"/>
      <c r="M70" s="851"/>
      <c r="N70" s="852">
        <f t="shared" si="2"/>
        <v>-1E-3</v>
      </c>
      <c r="O70" s="852"/>
      <c r="P70" s="852"/>
      <c r="Q70" s="883">
        <f ca="1">'Incerteza Absorbância'!W$29</f>
        <v>4.4302093492730853E-3</v>
      </c>
      <c r="R70" s="883"/>
      <c r="S70" s="883"/>
      <c r="T70" s="837">
        <f ca="1">'Incerteza Absorbância'!AB$30</f>
        <v>2.0194157961217307</v>
      </c>
      <c r="U70" s="837"/>
      <c r="V70" s="837"/>
      <c r="W70" s="837"/>
      <c r="X70" s="837"/>
      <c r="Y70" s="837"/>
      <c r="Z70" s="835">
        <f ca="1">'Incerteza Absorbância'!AB$28</f>
        <v>130.69580307513803</v>
      </c>
      <c r="AA70" s="853"/>
      <c r="AB70" s="853"/>
      <c r="AC70" s="853"/>
      <c r="AD70" s="853"/>
      <c r="AE70" s="853"/>
      <c r="AF70" s="853"/>
      <c r="AG70" s="393"/>
      <c r="AH70" s="457"/>
      <c r="AI70" s="475"/>
      <c r="AJ70" s="475"/>
      <c r="AK70" s="475"/>
      <c r="AL70" s="475"/>
      <c r="AM70" s="475"/>
      <c r="AN70" s="475"/>
      <c r="AO70" s="475"/>
      <c r="AP70" s="475"/>
      <c r="AQ70" s="475"/>
    </row>
    <row r="71" spans="1:43" ht="15" customHeight="1">
      <c r="A71" s="455"/>
      <c r="B71" s="854">
        <f>'Registro Tratado'!R$376</f>
        <v>635</v>
      </c>
      <c r="C71" s="854"/>
      <c r="D71" s="854"/>
      <c r="E71" s="855"/>
      <c r="F71" s="856">
        <f>'Registro Tratado'!R377</f>
        <v>0.55230000000000001</v>
      </c>
      <c r="G71" s="857"/>
      <c r="H71" s="857"/>
      <c r="I71" s="858"/>
      <c r="J71" s="859">
        <f>'Registro Tratado'!R$381</f>
        <v>0.55374999999999996</v>
      </c>
      <c r="K71" s="860"/>
      <c r="L71" s="860"/>
      <c r="M71" s="861"/>
      <c r="N71" s="862">
        <f t="shared" si="2"/>
        <v>2E-3</v>
      </c>
      <c r="O71" s="862"/>
      <c r="P71" s="862"/>
      <c r="Q71" s="886">
        <f ca="1">'Incerteza Absorbância'!X$29</f>
        <v>4.3883726804798519E-3</v>
      </c>
      <c r="R71" s="886"/>
      <c r="S71" s="886"/>
      <c r="T71" s="863">
        <f ca="1">'Incerteza Absorbância'!AC$30</f>
        <v>2.0003357882903599</v>
      </c>
      <c r="U71" s="863"/>
      <c r="V71" s="863"/>
      <c r="W71" s="863"/>
      <c r="X71" s="863"/>
      <c r="Y71" s="863"/>
      <c r="Z71" s="864">
        <f ca="1">'Incerteza Absorbância'!AC$28</f>
        <v>7501.7914292752057</v>
      </c>
      <c r="AA71" s="865"/>
      <c r="AB71" s="865"/>
      <c r="AC71" s="865"/>
      <c r="AD71" s="865"/>
      <c r="AE71" s="865"/>
      <c r="AF71" s="865"/>
      <c r="AG71" s="393"/>
      <c r="AH71" s="457"/>
      <c r="AI71" s="475"/>
      <c r="AJ71" s="475"/>
      <c r="AK71" s="475"/>
      <c r="AL71" s="475"/>
      <c r="AM71" s="475"/>
      <c r="AN71" s="475"/>
      <c r="AO71" s="475"/>
      <c r="AP71" s="475"/>
      <c r="AQ71" s="475"/>
    </row>
    <row r="72" spans="1:43" ht="15" customHeight="1" thickBot="1">
      <c r="A72" s="537"/>
      <c r="B72" s="538"/>
      <c r="C72" s="538"/>
      <c r="D72" s="538"/>
      <c r="E72" s="538"/>
      <c r="F72" s="539"/>
      <c r="G72" s="539"/>
      <c r="H72" s="539"/>
      <c r="I72" s="539"/>
      <c r="J72" s="539"/>
      <c r="K72" s="539"/>
      <c r="L72" s="539"/>
      <c r="M72" s="539"/>
      <c r="N72" s="539"/>
      <c r="O72" s="540"/>
      <c r="P72" s="540"/>
      <c r="Q72" s="539"/>
      <c r="R72" s="539"/>
      <c r="S72" s="539"/>
      <c r="T72" s="541"/>
      <c r="U72" s="541"/>
      <c r="V72" s="541"/>
      <c r="W72" s="541"/>
      <c r="X72" s="541"/>
      <c r="Y72" s="541"/>
      <c r="Z72" s="542"/>
      <c r="AA72" s="542"/>
      <c r="AB72" s="542"/>
      <c r="AC72" s="542"/>
      <c r="AD72" s="542"/>
      <c r="AE72" s="542"/>
      <c r="AF72" s="542"/>
      <c r="AG72" s="543"/>
      <c r="AH72" s="457"/>
      <c r="AI72" s="475"/>
      <c r="AJ72" s="475"/>
      <c r="AK72" s="475"/>
      <c r="AL72" s="475"/>
      <c r="AM72" s="475"/>
      <c r="AN72" s="475"/>
      <c r="AO72" s="475"/>
      <c r="AP72" s="475"/>
      <c r="AQ72" s="475"/>
    </row>
    <row r="73" spans="1:43" ht="15" customHeight="1">
      <c r="A73" s="523"/>
      <c r="B73" s="88"/>
      <c r="C73" s="88"/>
      <c r="D73" s="88"/>
      <c r="E73" s="88"/>
      <c r="F73" s="544"/>
      <c r="G73" s="544"/>
      <c r="H73" s="544"/>
      <c r="I73" s="544"/>
      <c r="J73" s="544"/>
      <c r="K73" s="544"/>
      <c r="L73" s="544"/>
      <c r="M73" s="544"/>
      <c r="N73" s="544"/>
      <c r="O73" s="545"/>
      <c r="P73" s="545"/>
      <c r="Q73" s="544"/>
      <c r="R73" s="544"/>
      <c r="S73" s="544"/>
      <c r="T73" s="546"/>
      <c r="U73" s="546"/>
      <c r="V73" s="546"/>
      <c r="W73" s="546"/>
      <c r="X73" s="546"/>
      <c r="Y73" s="546"/>
      <c r="Z73" s="547"/>
      <c r="AA73" s="547"/>
      <c r="AB73" s="547"/>
      <c r="AC73" s="547"/>
      <c r="AD73" s="547"/>
      <c r="AE73" s="547"/>
      <c r="AF73" s="547"/>
      <c r="AG73" s="548"/>
      <c r="AH73" s="457"/>
      <c r="AI73" s="475"/>
      <c r="AJ73" s="475"/>
      <c r="AK73" s="475"/>
      <c r="AL73" s="475"/>
      <c r="AM73" s="475"/>
      <c r="AN73" s="475"/>
      <c r="AO73" s="475"/>
      <c r="AP73" s="475"/>
      <c r="AQ73" s="475"/>
    </row>
    <row r="74" spans="1:43" ht="15" customHeight="1">
      <c r="A74" s="522"/>
      <c r="C74" s="866" t="s">
        <v>220</v>
      </c>
      <c r="D74" s="866"/>
      <c r="E74" s="866"/>
      <c r="F74" s="866"/>
      <c r="G74" s="866"/>
      <c r="H74" s="866"/>
      <c r="I74" s="866"/>
      <c r="J74" s="866"/>
      <c r="K74" s="866"/>
      <c r="L74" s="866"/>
      <c r="M74" s="866"/>
      <c r="N74" s="866"/>
      <c r="O74" s="866"/>
      <c r="P74" s="866"/>
      <c r="Q74" s="866"/>
      <c r="R74" s="866"/>
      <c r="S74" s="866"/>
      <c r="T74" s="866"/>
      <c r="U74" s="866"/>
      <c r="V74" s="866"/>
      <c r="W74" s="866"/>
      <c r="X74" s="866"/>
      <c r="Y74" s="866"/>
      <c r="Z74" s="866"/>
      <c r="AA74" s="866"/>
      <c r="AB74" s="866"/>
      <c r="AC74" s="866"/>
      <c r="AD74" s="866"/>
      <c r="AE74" s="866"/>
      <c r="AF74" s="891" t="s">
        <v>329</v>
      </c>
      <c r="AG74" s="891"/>
      <c r="AH74" s="891"/>
      <c r="AI74" s="475"/>
      <c r="AJ74" s="475"/>
      <c r="AK74" s="475"/>
      <c r="AL74" s="475"/>
      <c r="AM74" s="475"/>
      <c r="AN74" s="475"/>
      <c r="AO74" s="475"/>
      <c r="AP74" s="475"/>
      <c r="AQ74" s="475"/>
    </row>
    <row r="75" spans="1:43" ht="15" customHeight="1">
      <c r="A75" s="522"/>
      <c r="C75" s="866" t="s">
        <v>221</v>
      </c>
      <c r="D75" s="866"/>
      <c r="E75" s="866"/>
      <c r="F75" s="866"/>
      <c r="G75" s="866"/>
      <c r="H75" s="866"/>
      <c r="I75" s="866"/>
      <c r="J75" s="866"/>
      <c r="K75" s="866"/>
      <c r="L75" s="866"/>
      <c r="M75" s="866"/>
      <c r="N75" s="866"/>
      <c r="O75" s="866"/>
      <c r="P75" s="866"/>
      <c r="Q75" s="866"/>
      <c r="R75" s="866"/>
      <c r="S75" s="866"/>
      <c r="T75" s="866"/>
      <c r="U75" s="866"/>
      <c r="V75" s="866"/>
      <c r="W75" s="866"/>
      <c r="X75" s="866"/>
      <c r="Y75" s="866"/>
      <c r="Z75" s="866"/>
      <c r="AA75" s="866"/>
      <c r="AB75" s="866"/>
      <c r="AC75" s="866"/>
      <c r="AD75" s="866"/>
      <c r="AE75" s="866"/>
      <c r="AF75" s="394" t="s">
        <v>222</v>
      </c>
      <c r="AG75" s="553" t="s">
        <v>326</v>
      </c>
      <c r="AH75" s="457"/>
      <c r="AI75" s="475"/>
      <c r="AJ75" s="475"/>
      <c r="AK75" s="475"/>
      <c r="AL75" s="475"/>
      <c r="AM75" s="475"/>
      <c r="AN75" s="475"/>
      <c r="AO75" s="475"/>
      <c r="AP75" s="475"/>
      <c r="AQ75" s="475"/>
    </row>
    <row r="76" spans="1:43" ht="15" customHeight="1">
      <c r="A76" s="5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549"/>
      <c r="AH76" s="457"/>
      <c r="AI76" s="475"/>
      <c r="AJ76" s="475"/>
      <c r="AK76" s="475"/>
      <c r="AL76" s="475"/>
      <c r="AM76" s="475"/>
      <c r="AN76" s="475"/>
      <c r="AO76" s="475"/>
      <c r="AP76" s="475"/>
      <c r="AQ76" s="475"/>
    </row>
    <row r="77" spans="1:43">
      <c r="AH77" s="309"/>
      <c r="AI77" s="309"/>
      <c r="AJ77" s="309"/>
      <c r="AK77" s="309"/>
      <c r="AL77" s="309"/>
      <c r="AM77" s="309"/>
      <c r="AN77" s="309"/>
      <c r="AO77" s="309"/>
      <c r="AP77" s="309"/>
      <c r="AQ77" s="309"/>
    </row>
    <row r="78" spans="1:43" ht="25.5">
      <c r="A78" s="305"/>
      <c r="B78" s="305"/>
      <c r="C78" s="305"/>
      <c r="D78" s="305"/>
      <c r="E78" s="305"/>
      <c r="F78" s="305"/>
      <c r="G78" s="305"/>
      <c r="H78" s="305"/>
      <c r="I78" s="869" t="s">
        <v>195</v>
      </c>
      <c r="J78" s="869"/>
      <c r="K78" s="869"/>
      <c r="L78" s="869"/>
      <c r="M78" s="869"/>
      <c r="N78" s="869"/>
      <c r="O78" s="869"/>
      <c r="P78" s="869"/>
      <c r="Q78" s="869"/>
      <c r="R78" s="869"/>
      <c r="S78" s="869"/>
      <c r="T78" s="869"/>
      <c r="U78" s="869"/>
      <c r="V78" s="869"/>
      <c r="W78" s="869"/>
      <c r="X78" s="869"/>
      <c r="Y78" s="869"/>
      <c r="Z78" s="869"/>
      <c r="AA78" s="869"/>
      <c r="AB78" s="869"/>
      <c r="AC78" s="869"/>
      <c r="AD78" s="306"/>
      <c r="AE78" s="307"/>
      <c r="AF78" s="307"/>
      <c r="AG78" s="307"/>
      <c r="AH78" s="308"/>
      <c r="AI78" s="308"/>
      <c r="AJ78" s="309"/>
      <c r="AK78" s="309"/>
      <c r="AL78" s="309"/>
      <c r="AM78" s="309"/>
      <c r="AN78" s="309"/>
      <c r="AO78" s="309"/>
      <c r="AP78" s="309"/>
      <c r="AQ78" s="309"/>
    </row>
    <row r="79" spans="1:43" ht="25.5">
      <c r="A79" s="309"/>
      <c r="B79" s="309"/>
      <c r="C79" s="310"/>
      <c r="D79" s="310"/>
      <c r="E79" s="310"/>
      <c r="F79" s="310"/>
      <c r="G79" s="310"/>
      <c r="H79" s="310"/>
      <c r="I79" s="869"/>
      <c r="J79" s="869"/>
      <c r="K79" s="869"/>
      <c r="L79" s="869"/>
      <c r="M79" s="869"/>
      <c r="N79" s="869"/>
      <c r="O79" s="869"/>
      <c r="P79" s="869"/>
      <c r="Q79" s="869"/>
      <c r="R79" s="869"/>
      <c r="S79" s="869"/>
      <c r="T79" s="869"/>
      <c r="U79" s="869"/>
      <c r="V79" s="869"/>
      <c r="W79" s="869"/>
      <c r="X79" s="869"/>
      <c r="Y79" s="869"/>
      <c r="Z79" s="869"/>
      <c r="AA79" s="869"/>
      <c r="AB79" s="869"/>
      <c r="AC79" s="869"/>
      <c r="AD79" s="306"/>
      <c r="AE79" s="310"/>
      <c r="AF79" s="310"/>
      <c r="AG79" s="310"/>
      <c r="AH79" s="308"/>
      <c r="AI79" s="308"/>
      <c r="AJ79" s="309"/>
      <c r="AK79" s="309"/>
      <c r="AL79" s="309"/>
      <c r="AM79" s="309"/>
      <c r="AN79" s="309"/>
      <c r="AO79" s="309"/>
      <c r="AP79" s="309"/>
      <c r="AQ79" s="309"/>
    </row>
    <row r="80" spans="1:43">
      <c r="A80" s="311"/>
      <c r="B80" s="311"/>
      <c r="C80" s="311"/>
      <c r="D80" s="311"/>
      <c r="E80" s="311"/>
      <c r="F80" s="311"/>
      <c r="G80" s="311"/>
      <c r="H80" s="311"/>
      <c r="I80" s="310"/>
      <c r="J80" s="310"/>
      <c r="K80" s="311"/>
      <c r="L80" s="311"/>
      <c r="M80" s="311"/>
      <c r="N80" s="311"/>
      <c r="O80" s="311"/>
      <c r="P80" s="311"/>
      <c r="Q80" s="311"/>
      <c r="R80" s="311"/>
      <c r="S80" s="311"/>
      <c r="T80" s="311"/>
      <c r="U80" s="311"/>
      <c r="V80" s="311"/>
      <c r="W80" s="311"/>
      <c r="X80" s="311"/>
      <c r="Y80" s="311"/>
      <c r="Z80" s="311"/>
      <c r="AA80" s="311"/>
      <c r="AB80" s="311"/>
      <c r="AC80" s="311"/>
      <c r="AD80" s="312" t="s">
        <v>196</v>
      </c>
      <c r="AE80" s="311"/>
      <c r="AF80" s="309"/>
      <c r="AG80" s="312"/>
      <c r="AH80" s="311"/>
      <c r="AI80" s="311"/>
      <c r="AJ80" s="309"/>
      <c r="AK80" s="309"/>
      <c r="AL80" s="309"/>
      <c r="AM80" s="309"/>
      <c r="AN80" s="309"/>
      <c r="AO80" s="309"/>
      <c r="AP80" s="309"/>
      <c r="AQ80" s="309"/>
    </row>
    <row r="81" spans="1:43" ht="19.5">
      <c r="A81" s="311"/>
      <c r="B81" s="311"/>
      <c r="C81" s="311"/>
      <c r="D81" s="311"/>
      <c r="E81" s="311"/>
      <c r="F81" s="311"/>
      <c r="G81" s="311"/>
      <c r="H81" s="311"/>
      <c r="I81" s="310"/>
      <c r="J81" s="310"/>
      <c r="K81" s="867" t="s">
        <v>228</v>
      </c>
      <c r="L81" s="867"/>
      <c r="M81" s="867"/>
      <c r="N81" s="867"/>
      <c r="O81" s="867"/>
      <c r="P81" s="867"/>
      <c r="Q81" s="867"/>
      <c r="R81" s="867"/>
      <c r="S81" s="867"/>
      <c r="T81" s="867"/>
      <c r="U81" s="867"/>
      <c r="V81" s="317" t="s">
        <v>197</v>
      </c>
      <c r="W81" s="868" t="str">
        <f>W4</f>
        <v>2021-XXXXX GU</v>
      </c>
      <c r="X81" s="868"/>
      <c r="Y81" s="868"/>
      <c r="Z81" s="868"/>
      <c r="AA81" s="868"/>
      <c r="AB81" s="868"/>
      <c r="AC81" s="317"/>
      <c r="AD81" s="395">
        <f>AD4</f>
        <v>0</v>
      </c>
      <c r="AE81" s="317"/>
      <c r="AF81" s="309"/>
      <c r="AG81" s="312"/>
      <c r="AH81" s="311"/>
      <c r="AI81" s="311"/>
      <c r="AJ81" s="309"/>
      <c r="AK81" s="309"/>
      <c r="AL81" s="309"/>
      <c r="AM81" s="309"/>
      <c r="AN81" s="309"/>
      <c r="AO81" s="309"/>
      <c r="AP81" s="309"/>
      <c r="AQ81" s="309"/>
    </row>
    <row r="82" spans="1:43" ht="19.5">
      <c r="AC82" s="317"/>
      <c r="AE82" s="321"/>
      <c r="AF82" s="396"/>
      <c r="AG82" s="397"/>
      <c r="AH82" s="398"/>
      <c r="AI82" s="398"/>
      <c r="AJ82" s="396"/>
      <c r="AK82" s="396"/>
      <c r="AL82" s="396"/>
      <c r="AM82" s="396"/>
      <c r="AN82" s="396"/>
      <c r="AO82" s="396"/>
      <c r="AP82" s="396"/>
      <c r="AQ82" s="396"/>
    </row>
    <row r="83" spans="1:43" ht="19.5">
      <c r="A83" s="399"/>
      <c r="B83" s="399"/>
      <c r="C83" s="399"/>
      <c r="D83" s="399"/>
      <c r="E83" s="399"/>
      <c r="F83" s="399"/>
      <c r="G83" s="399"/>
      <c r="H83" s="399"/>
      <c r="I83" s="399"/>
      <c r="J83" s="399"/>
      <c r="K83" s="399"/>
      <c r="W83" s="316"/>
      <c r="X83" s="316"/>
      <c r="Y83" s="316"/>
      <c r="Z83" s="316"/>
      <c r="AD83" s="395"/>
      <c r="AE83" s="321"/>
      <c r="AF83" s="396"/>
      <c r="AG83" s="397"/>
      <c r="AH83" s="398"/>
      <c r="AI83" s="398"/>
      <c r="AJ83" s="396"/>
      <c r="AK83" s="396"/>
      <c r="AL83" s="396"/>
      <c r="AM83" s="396"/>
      <c r="AN83" s="396"/>
      <c r="AO83" s="396"/>
      <c r="AP83" s="396"/>
      <c r="AQ83" s="396"/>
    </row>
    <row r="84" spans="1:43" ht="14.25" customHeight="1">
      <c r="A84" s="554"/>
      <c r="B84" s="870" t="str">
        <f>CONCATENATE("Tabela 4                                                                  Padrão de Densidade Neutra - Absorbância Nominal 1 A  - Largura de Banda ", $Q$17, " nm")</f>
        <v>Tabela 4                                                                  Padrão de Densidade Neutra - Absorbância Nominal 1 A  - Largura de Banda 5 nm</v>
      </c>
      <c r="C84" s="870"/>
      <c r="D84" s="870"/>
      <c r="E84" s="870"/>
      <c r="F84" s="870"/>
      <c r="G84" s="870"/>
      <c r="H84" s="870"/>
      <c r="I84" s="870"/>
      <c r="J84" s="870"/>
      <c r="K84" s="870"/>
      <c r="L84" s="870"/>
      <c r="M84" s="870"/>
      <c r="N84" s="870"/>
      <c r="O84" s="870"/>
      <c r="P84" s="870"/>
      <c r="Q84" s="870"/>
      <c r="R84" s="870"/>
      <c r="S84" s="870"/>
      <c r="T84" s="870"/>
      <c r="U84" s="870"/>
      <c r="V84" s="870"/>
      <c r="W84" s="870"/>
      <c r="X84" s="870"/>
      <c r="Y84" s="870"/>
      <c r="Z84" s="870"/>
      <c r="AA84" s="870"/>
      <c r="AB84" s="870"/>
      <c r="AC84" s="870"/>
      <c r="AD84" s="870"/>
      <c r="AE84" s="870"/>
      <c r="AF84" s="870"/>
      <c r="AG84" s="555"/>
      <c r="AH84" s="398"/>
      <c r="AI84" s="398"/>
      <c r="AJ84" s="396"/>
      <c r="AK84" s="396"/>
      <c r="AL84" s="396"/>
      <c r="AM84" s="396"/>
      <c r="AN84" s="396"/>
      <c r="AO84" s="396"/>
      <c r="AP84" s="396"/>
      <c r="AQ84" s="396"/>
    </row>
    <row r="85" spans="1:43" ht="14.25" customHeight="1">
      <c r="A85" s="554"/>
      <c r="B85" s="871" t="s">
        <v>267</v>
      </c>
      <c r="C85" s="871"/>
      <c r="D85" s="871"/>
      <c r="E85" s="872"/>
      <c r="F85" s="875" t="s">
        <v>331</v>
      </c>
      <c r="G85" s="871"/>
      <c r="H85" s="871"/>
      <c r="I85" s="872"/>
      <c r="J85" s="875" t="s">
        <v>332</v>
      </c>
      <c r="K85" s="871"/>
      <c r="L85" s="871"/>
      <c r="M85" s="872"/>
      <c r="N85" s="877" t="s">
        <v>99</v>
      </c>
      <c r="O85" s="877"/>
      <c r="P85" s="877"/>
      <c r="Q85" s="877" t="s">
        <v>269</v>
      </c>
      <c r="R85" s="877"/>
      <c r="S85" s="877"/>
      <c r="T85" s="878" t="s">
        <v>270</v>
      </c>
      <c r="U85" s="878"/>
      <c r="V85" s="878"/>
      <c r="W85" s="878"/>
      <c r="X85" s="878"/>
      <c r="Y85" s="878"/>
      <c r="Z85" s="879" t="s">
        <v>301</v>
      </c>
      <c r="AA85" s="880"/>
      <c r="AB85" s="880"/>
      <c r="AC85" s="880"/>
      <c r="AD85" s="880"/>
      <c r="AE85" s="880"/>
      <c r="AF85" s="880"/>
      <c r="AG85" s="555"/>
      <c r="AH85" s="398"/>
      <c r="AI85" s="398"/>
      <c r="AJ85" s="396"/>
      <c r="AK85" s="396"/>
      <c r="AL85" s="396"/>
      <c r="AM85" s="396"/>
      <c r="AN85" s="396"/>
      <c r="AO85" s="396"/>
      <c r="AP85" s="396"/>
      <c r="AQ85" s="396"/>
    </row>
    <row r="86" spans="1:43" ht="14.25" customHeight="1">
      <c r="A86" s="554"/>
      <c r="B86" s="873"/>
      <c r="C86" s="873"/>
      <c r="D86" s="873"/>
      <c r="E86" s="874"/>
      <c r="F86" s="876"/>
      <c r="G86" s="873"/>
      <c r="H86" s="873"/>
      <c r="I86" s="874"/>
      <c r="J86" s="876"/>
      <c r="K86" s="873"/>
      <c r="L86" s="873"/>
      <c r="M86" s="874"/>
      <c r="N86" s="878" t="s">
        <v>333</v>
      </c>
      <c r="O86" s="878"/>
      <c r="P86" s="878"/>
      <c r="Q86" s="878" t="s">
        <v>333</v>
      </c>
      <c r="R86" s="878"/>
      <c r="S86" s="878"/>
      <c r="T86" s="878" t="s">
        <v>298</v>
      </c>
      <c r="U86" s="878"/>
      <c r="V86" s="878"/>
      <c r="W86" s="878"/>
      <c r="X86" s="878"/>
      <c r="Y86" s="878"/>
      <c r="Z86" s="881" t="s">
        <v>158</v>
      </c>
      <c r="AA86" s="882"/>
      <c r="AB86" s="882"/>
      <c r="AC86" s="882"/>
      <c r="AD86" s="882"/>
      <c r="AE86" s="882"/>
      <c r="AF86" s="882"/>
      <c r="AG86" s="555"/>
      <c r="AH86" s="398"/>
      <c r="AI86" s="398"/>
      <c r="AJ86" s="396"/>
      <c r="AK86" s="396"/>
      <c r="AL86" s="396"/>
      <c r="AM86" s="396"/>
      <c r="AN86" s="396"/>
      <c r="AO86" s="396"/>
      <c r="AP86" s="396"/>
      <c r="AQ86" s="396"/>
    </row>
    <row r="87" spans="1:43" ht="14.25" customHeight="1">
      <c r="A87" s="554"/>
      <c r="B87" s="844">
        <f>'Registro Tratado'!N$389</f>
        <v>440</v>
      </c>
      <c r="C87" s="844"/>
      <c r="D87" s="844"/>
      <c r="E87" s="845"/>
      <c r="F87" s="846">
        <f>'Registro Tratado'!N390</f>
        <v>1.0061</v>
      </c>
      <c r="G87" s="847"/>
      <c r="H87" s="847"/>
      <c r="I87" s="848"/>
      <c r="J87" s="849">
        <f>'Registro Tratado'!N$394</f>
        <v>1.00875</v>
      </c>
      <c r="K87" s="850"/>
      <c r="L87" s="850"/>
      <c r="M87" s="851"/>
      <c r="N87" s="852">
        <f>ROUND(ROUND(J87,3)-F87, 3)</f>
        <v>3.0000000000000001E-3</v>
      </c>
      <c r="O87" s="852"/>
      <c r="P87" s="852"/>
      <c r="Q87" s="852">
        <f ca="1">'Incerteza Absorbância'!T$42</f>
        <v>5.4543388779049453E-3</v>
      </c>
      <c r="R87" s="852"/>
      <c r="S87" s="852"/>
      <c r="T87" s="837">
        <f ca="1">'Incerteza Absorbância'!Y$43</f>
        <v>2.00006130116437</v>
      </c>
      <c r="U87" s="837"/>
      <c r="V87" s="837"/>
      <c r="W87" s="837"/>
      <c r="X87" s="837"/>
      <c r="Y87" s="837"/>
      <c r="Z87" s="835">
        <f ca="1">'Incerteza Absorbância'!Y$41</f>
        <v>42477.256723065708</v>
      </c>
      <c r="AA87" s="853"/>
      <c r="AB87" s="853"/>
      <c r="AC87" s="853"/>
      <c r="AD87" s="853"/>
      <c r="AE87" s="853"/>
      <c r="AF87" s="853"/>
      <c r="AG87" s="555"/>
      <c r="AH87" s="398"/>
      <c r="AI87" s="398"/>
      <c r="AJ87" s="396"/>
      <c r="AK87" s="396"/>
      <c r="AL87" s="396"/>
      <c r="AM87" s="396"/>
      <c r="AN87" s="396"/>
      <c r="AO87" s="396"/>
      <c r="AP87" s="396"/>
      <c r="AQ87" s="396"/>
    </row>
    <row r="88" spans="1:43" ht="14.25" customHeight="1">
      <c r="A88" s="554"/>
      <c r="B88" s="844">
        <f>'Registro Tratado'!O$389</f>
        <v>465</v>
      </c>
      <c r="C88" s="844"/>
      <c r="D88" s="844"/>
      <c r="E88" s="845"/>
      <c r="F88" s="846">
        <f>'Registro Tratado'!O390</f>
        <v>0.95569999999999999</v>
      </c>
      <c r="G88" s="847"/>
      <c r="H88" s="847"/>
      <c r="I88" s="848"/>
      <c r="J88" s="849">
        <f>'Registro Tratado'!O$394</f>
        <v>0.96349999999999991</v>
      </c>
      <c r="K88" s="850"/>
      <c r="L88" s="850"/>
      <c r="M88" s="851"/>
      <c r="N88" s="852">
        <f>ROUND(ROUND(J88,3)-F88, 3)</f>
        <v>8.0000000000000002E-3</v>
      </c>
      <c r="O88" s="852"/>
      <c r="P88" s="852"/>
      <c r="Q88" s="852">
        <f ca="1">'Incerteza Absorbância'!U$42</f>
        <v>5.5249487017378918E-3</v>
      </c>
      <c r="R88" s="852"/>
      <c r="S88" s="852"/>
      <c r="T88" s="837">
        <f ca="1">'Incerteza Absorbância'!Z$43</f>
        <v>2.0008988976578683</v>
      </c>
      <c r="U88" s="837"/>
      <c r="V88" s="837"/>
      <c r="W88" s="837"/>
      <c r="X88" s="837"/>
      <c r="Y88" s="837"/>
      <c r="Z88" s="835">
        <f ca="1">'Incerteza Absorbância'!Z$41</f>
        <v>2790.3177233523629</v>
      </c>
      <c r="AA88" s="853"/>
      <c r="AB88" s="853"/>
      <c r="AC88" s="853"/>
      <c r="AD88" s="853"/>
      <c r="AE88" s="853"/>
      <c r="AF88" s="853"/>
      <c r="AG88" s="555"/>
      <c r="AH88" s="398"/>
      <c r="AI88" s="398"/>
      <c r="AJ88" s="396"/>
      <c r="AK88" s="396"/>
      <c r="AL88" s="396"/>
      <c r="AM88" s="396"/>
      <c r="AN88" s="396"/>
      <c r="AO88" s="396"/>
      <c r="AP88" s="396"/>
      <c r="AQ88" s="396"/>
    </row>
    <row r="89" spans="1:43" ht="14.25" customHeight="1">
      <c r="A89" s="554"/>
      <c r="B89" s="844">
        <f>'Registro Tratado'!P$389</f>
        <v>546.1</v>
      </c>
      <c r="C89" s="844"/>
      <c r="D89" s="844"/>
      <c r="E89" s="845"/>
      <c r="F89" s="846">
        <f>'Registro Tratado'!P390</f>
        <v>1.0014000000000001</v>
      </c>
      <c r="G89" s="847"/>
      <c r="H89" s="847"/>
      <c r="I89" s="848"/>
      <c r="J89" s="849">
        <f>'Registro Tratado'!P$394</f>
        <v>0.99975000000000003</v>
      </c>
      <c r="K89" s="850"/>
      <c r="L89" s="850"/>
      <c r="M89" s="851"/>
      <c r="N89" s="852">
        <f>ROUND(ROUND(J89,3)-F89, 3)</f>
        <v>-1E-3</v>
      </c>
      <c r="O89" s="852"/>
      <c r="P89" s="852"/>
      <c r="Q89" s="852">
        <f ca="1">'Incerteza Absorbância'!V$42</f>
        <v>5.5168018925144573E-3</v>
      </c>
      <c r="R89" s="852"/>
      <c r="S89" s="852"/>
      <c r="T89" s="837">
        <f ca="1">'Incerteza Absorbância'!AA$43</f>
        <v>2.0007598441654646</v>
      </c>
      <c r="U89" s="837"/>
      <c r="V89" s="837"/>
      <c r="W89" s="837"/>
      <c r="X89" s="837"/>
      <c r="Y89" s="837"/>
      <c r="Z89" s="835">
        <f ca="1">'Incerteza Absorbância'!AA$41</f>
        <v>3302.0836037897798</v>
      </c>
      <c r="AA89" s="853"/>
      <c r="AB89" s="853"/>
      <c r="AC89" s="853"/>
      <c r="AD89" s="853"/>
      <c r="AE89" s="853"/>
      <c r="AF89" s="853"/>
      <c r="AG89" s="555"/>
      <c r="AH89" s="398"/>
      <c r="AI89" s="398"/>
      <c r="AJ89" s="396"/>
      <c r="AK89" s="396"/>
      <c r="AL89" s="396"/>
      <c r="AM89" s="396"/>
      <c r="AN89" s="396"/>
      <c r="AO89" s="396"/>
      <c r="AP89" s="396"/>
      <c r="AQ89" s="396"/>
    </row>
    <row r="90" spans="1:43">
      <c r="A90" s="550"/>
      <c r="B90" s="844">
        <f>'Registro Tratado'!Q$389</f>
        <v>590</v>
      </c>
      <c r="C90" s="844"/>
      <c r="D90" s="844"/>
      <c r="E90" s="845"/>
      <c r="F90" s="846">
        <f>'Registro Tratado'!Q390</f>
        <v>1.0978000000000001</v>
      </c>
      <c r="G90" s="847"/>
      <c r="H90" s="847"/>
      <c r="I90" s="848"/>
      <c r="J90" s="849">
        <f>'Registro Tratado'!Q$394</f>
        <v>1.0900000000000001</v>
      </c>
      <c r="K90" s="850"/>
      <c r="L90" s="850"/>
      <c r="M90" s="851"/>
      <c r="N90" s="852">
        <f>ROUND(ROUND(J90,3)-F90, 3)</f>
        <v>-8.0000000000000002E-3</v>
      </c>
      <c r="O90" s="852"/>
      <c r="P90" s="852"/>
      <c r="Q90" s="852">
        <f ca="1">'Incerteza Absorbância'!W$42</f>
        <v>5.6214597544892459E-3</v>
      </c>
      <c r="R90" s="852"/>
      <c r="S90" s="852"/>
      <c r="T90" s="837">
        <f ca="1">'Incerteza Absorbância'!AB$43</f>
        <v>2.0033727466595974</v>
      </c>
      <c r="U90" s="837"/>
      <c r="V90" s="837"/>
      <c r="W90" s="837"/>
      <c r="X90" s="837"/>
      <c r="Y90" s="837"/>
      <c r="Z90" s="835">
        <f ca="1">'Incerteza Absorbância'!AB$41</f>
        <v>743.92751754483777</v>
      </c>
      <c r="AA90" s="853"/>
      <c r="AB90" s="853"/>
      <c r="AC90" s="853"/>
      <c r="AD90" s="853"/>
      <c r="AE90" s="853"/>
      <c r="AF90" s="853"/>
      <c r="AG90" s="556"/>
      <c r="AH90" s="309"/>
      <c r="AI90" s="309"/>
      <c r="AJ90" s="309"/>
      <c r="AK90" s="309"/>
      <c r="AL90" s="309"/>
      <c r="AM90" s="309"/>
      <c r="AN90" s="309"/>
      <c r="AO90" s="309"/>
      <c r="AP90" s="309"/>
      <c r="AQ90" s="309"/>
    </row>
    <row r="91" spans="1:43">
      <c r="A91" s="557"/>
      <c r="B91" s="854">
        <f>'Registro Tratado'!R$389</f>
        <v>635</v>
      </c>
      <c r="C91" s="854"/>
      <c r="D91" s="854"/>
      <c r="E91" s="855"/>
      <c r="F91" s="856">
        <f>'Registro Tratado'!R390</f>
        <v>1.0900000000000001</v>
      </c>
      <c r="G91" s="857"/>
      <c r="H91" s="857"/>
      <c r="I91" s="858"/>
      <c r="J91" s="859">
        <f>'Registro Tratado'!R$394</f>
        <v>1.087</v>
      </c>
      <c r="K91" s="860"/>
      <c r="L91" s="860"/>
      <c r="M91" s="861"/>
      <c r="N91" s="862">
        <f>ROUND(ROUND(J91,3)-F91, 3)</f>
        <v>-3.0000000000000001E-3</v>
      </c>
      <c r="O91" s="862"/>
      <c r="P91" s="862"/>
      <c r="Q91" s="862">
        <f ca="1">'Incerteza Absorbância'!X$42</f>
        <v>5.4940214908104756E-3</v>
      </c>
      <c r="R91" s="862"/>
      <c r="S91" s="862"/>
      <c r="T91" s="863">
        <f ca="1">'Incerteza Absorbância'!AC$43</f>
        <v>2.0007598441654646</v>
      </c>
      <c r="U91" s="863"/>
      <c r="V91" s="863"/>
      <c r="W91" s="863"/>
      <c r="X91" s="863"/>
      <c r="Y91" s="863"/>
      <c r="Z91" s="864">
        <f ca="1">'Incerteza Absorbância'!AC$41</f>
        <v>3302.0836037897798</v>
      </c>
      <c r="AA91" s="865"/>
      <c r="AB91" s="865"/>
      <c r="AC91" s="865"/>
      <c r="AD91" s="865"/>
      <c r="AE91" s="865"/>
      <c r="AF91" s="865"/>
      <c r="AG91" s="558"/>
      <c r="AH91" s="400"/>
      <c r="AI91" s="308"/>
      <c r="AJ91" s="309"/>
      <c r="AK91" s="309"/>
      <c r="AL91" s="309"/>
      <c r="AM91" s="309"/>
      <c r="AN91" s="309"/>
      <c r="AO91" s="309"/>
      <c r="AP91" s="309"/>
      <c r="AQ91" s="309"/>
    </row>
    <row r="92" spans="1:43" ht="15.75" thickBot="1">
      <c r="A92" s="559"/>
      <c r="B92" s="538"/>
      <c r="C92" s="538"/>
      <c r="D92" s="538"/>
      <c r="E92" s="538"/>
      <c r="F92" s="539"/>
      <c r="G92" s="539"/>
      <c r="H92" s="539"/>
      <c r="I92" s="539"/>
      <c r="J92" s="539"/>
      <c r="K92" s="539"/>
      <c r="L92" s="539"/>
      <c r="M92" s="539"/>
      <c r="N92" s="539"/>
      <c r="O92" s="540"/>
      <c r="P92" s="540"/>
      <c r="Q92" s="539"/>
      <c r="R92" s="539"/>
      <c r="S92" s="539"/>
      <c r="T92" s="541"/>
      <c r="U92" s="541"/>
      <c r="V92" s="541"/>
      <c r="W92" s="541"/>
      <c r="X92" s="541"/>
      <c r="Y92" s="541"/>
      <c r="Z92" s="542"/>
      <c r="AA92" s="542"/>
      <c r="AB92" s="542"/>
      <c r="AC92" s="542"/>
      <c r="AD92" s="542"/>
      <c r="AE92" s="542"/>
      <c r="AF92" s="542"/>
      <c r="AG92" s="560"/>
      <c r="AH92" s="400"/>
      <c r="AI92" s="308"/>
      <c r="AJ92" s="309"/>
      <c r="AK92" s="309"/>
      <c r="AL92" s="309"/>
      <c r="AM92" s="309"/>
      <c r="AN92" s="309"/>
      <c r="AO92" s="309"/>
      <c r="AP92" s="309"/>
      <c r="AQ92" s="309"/>
    </row>
    <row r="93" spans="1:43">
      <c r="A93" s="551"/>
      <c r="B93" s="534"/>
      <c r="C93" s="534"/>
      <c r="D93" s="534"/>
      <c r="E93" s="534"/>
      <c r="F93" s="521"/>
      <c r="G93" s="521"/>
      <c r="H93" s="521"/>
      <c r="I93" s="521"/>
      <c r="J93" s="521"/>
      <c r="K93" s="521"/>
      <c r="L93" s="521"/>
      <c r="M93" s="521"/>
      <c r="N93" s="521"/>
      <c r="O93" s="529"/>
      <c r="P93" s="529"/>
      <c r="Q93" s="521"/>
      <c r="R93" s="521"/>
      <c r="S93" s="521"/>
      <c r="T93" s="483"/>
      <c r="U93" s="483"/>
      <c r="V93" s="483"/>
      <c r="W93" s="483"/>
      <c r="X93" s="483"/>
      <c r="Y93" s="483"/>
      <c r="Z93" s="535"/>
      <c r="AA93" s="535"/>
      <c r="AB93" s="535"/>
      <c r="AC93" s="535"/>
      <c r="AD93" s="535"/>
      <c r="AE93" s="535"/>
      <c r="AF93" s="535"/>
      <c r="AG93" s="552"/>
      <c r="AH93" s="400"/>
      <c r="AI93" s="308"/>
      <c r="AJ93" s="309"/>
      <c r="AK93" s="309"/>
      <c r="AL93" s="309"/>
      <c r="AM93" s="309"/>
      <c r="AN93" s="309"/>
      <c r="AO93" s="309"/>
      <c r="AP93" s="309"/>
      <c r="AQ93" s="309"/>
    </row>
    <row r="94" spans="1:43">
      <c r="A94" s="330" t="s">
        <v>223</v>
      </c>
      <c r="B94" s="330"/>
      <c r="C94" s="330"/>
      <c r="D94" s="330"/>
      <c r="E94" s="330"/>
      <c r="F94" s="330"/>
      <c r="G94" s="330"/>
      <c r="H94" s="330"/>
      <c r="I94" s="330"/>
      <c r="J94" s="330"/>
      <c r="K94" s="330"/>
      <c r="L94" s="330"/>
      <c r="M94" s="330"/>
      <c r="N94" s="330"/>
      <c r="O94" s="330"/>
      <c r="P94" s="330"/>
      <c r="Q94" s="330"/>
      <c r="R94" s="330"/>
      <c r="S94" s="330"/>
      <c r="T94" s="330"/>
      <c r="U94" s="330"/>
      <c r="V94" s="330"/>
      <c r="W94" s="330"/>
      <c r="X94" s="330"/>
      <c r="Y94" s="330"/>
      <c r="Z94" s="330"/>
      <c r="AA94" s="330"/>
      <c r="AB94" s="330"/>
      <c r="AC94" s="330"/>
      <c r="AD94" s="330"/>
      <c r="AE94" s="330"/>
      <c r="AF94" s="330"/>
      <c r="AG94" s="330"/>
      <c r="AH94" s="330"/>
      <c r="AI94" s="308"/>
      <c r="AJ94" s="309"/>
      <c r="AK94" s="309"/>
      <c r="AL94" s="309"/>
      <c r="AM94" s="309"/>
      <c r="AN94" s="309"/>
      <c r="AO94" s="309"/>
      <c r="AP94" s="309"/>
      <c r="AQ94" s="309"/>
    </row>
    <row r="95" spans="1:43">
      <c r="A95" s="305" t="s">
        <v>322</v>
      </c>
      <c r="B95" s="305"/>
      <c r="C95" s="305"/>
      <c r="D95" s="305"/>
      <c r="E95" s="305"/>
      <c r="F95" s="305"/>
      <c r="G95" s="305"/>
      <c r="H95" s="305"/>
      <c r="I95" s="305"/>
      <c r="J95" s="305"/>
      <c r="K95" s="305"/>
      <c r="L95" s="305"/>
      <c r="M95" s="305"/>
      <c r="N95" s="305"/>
      <c r="O95" s="305"/>
      <c r="P95" s="305"/>
      <c r="Q95" s="305"/>
      <c r="R95" s="305"/>
      <c r="S95" s="305"/>
      <c r="T95" s="305"/>
      <c r="U95" s="305"/>
      <c r="V95" s="311"/>
      <c r="W95" s="305"/>
      <c r="X95" s="305"/>
      <c r="Y95" s="305"/>
      <c r="Z95" s="305"/>
      <c r="AA95" s="305"/>
      <c r="AB95" s="305"/>
      <c r="AC95" s="305"/>
      <c r="AD95" s="305"/>
      <c r="AE95" s="305"/>
      <c r="AF95" s="329"/>
      <c r="AG95" s="329"/>
      <c r="AH95" s="308"/>
      <c r="AI95" s="308"/>
      <c r="AJ95" s="309"/>
      <c r="AK95" s="309"/>
      <c r="AL95" s="309"/>
      <c r="AM95" s="309"/>
      <c r="AN95" s="309"/>
      <c r="AO95" s="309"/>
      <c r="AP95" s="309"/>
      <c r="AQ95" s="309"/>
    </row>
    <row r="96" spans="1:43">
      <c r="A96" s="305" t="s">
        <v>433</v>
      </c>
      <c r="B96" s="305"/>
      <c r="C96" s="305"/>
      <c r="D96" s="305"/>
      <c r="E96" s="305"/>
      <c r="F96" s="305"/>
      <c r="G96" s="305"/>
      <c r="H96" s="305"/>
      <c r="I96" s="305"/>
      <c r="J96" s="305"/>
      <c r="K96" s="305"/>
      <c r="L96" s="305"/>
      <c r="M96" s="305"/>
      <c r="N96" s="305"/>
      <c r="O96" s="319"/>
      <c r="Q96" s="319"/>
      <c r="R96" s="309"/>
      <c r="S96" s="319"/>
      <c r="T96" s="319"/>
      <c r="U96" s="305"/>
      <c r="V96" s="305"/>
      <c r="W96" s="305"/>
      <c r="X96" s="305"/>
      <c r="Y96" s="305"/>
      <c r="Z96" s="305"/>
      <c r="AA96" s="305"/>
      <c r="AB96" s="305"/>
      <c r="AC96" s="305"/>
      <c r="AD96" s="305"/>
      <c r="AE96" s="305"/>
      <c r="AF96" s="305"/>
      <c r="AG96" s="305"/>
      <c r="AH96" s="308"/>
      <c r="AI96" s="308"/>
      <c r="AJ96" s="309"/>
      <c r="AK96" s="309"/>
      <c r="AL96" s="309"/>
      <c r="AM96" s="309"/>
      <c r="AN96" s="309"/>
      <c r="AO96" s="309"/>
      <c r="AP96" s="309"/>
      <c r="AQ96" s="309"/>
    </row>
    <row r="97" spans="1:43">
      <c r="A97" s="843" t="s">
        <v>323</v>
      </c>
      <c r="B97" s="843"/>
      <c r="C97" s="843"/>
      <c r="D97" s="843"/>
      <c r="E97" s="843"/>
      <c r="F97" s="843"/>
      <c r="G97" s="843"/>
      <c r="H97" s="843"/>
      <c r="I97" s="843"/>
      <c r="J97" s="843"/>
      <c r="K97" s="843"/>
      <c r="L97" s="843"/>
      <c r="M97" s="843"/>
      <c r="N97" s="843"/>
      <c r="O97" s="843"/>
      <c r="P97" s="843"/>
      <c r="Q97" s="843"/>
      <c r="R97" s="843"/>
      <c r="S97" s="843"/>
      <c r="T97" s="843"/>
      <c r="U97" s="843"/>
      <c r="V97" s="843"/>
      <c r="W97" s="843"/>
      <c r="X97" s="843"/>
      <c r="Y97" s="843"/>
      <c r="Z97" s="843"/>
      <c r="AA97" s="843"/>
      <c r="AB97" s="843"/>
      <c r="AC97" s="843"/>
      <c r="AD97" s="843"/>
      <c r="AE97" s="843"/>
      <c r="AF97" s="843"/>
      <c r="AG97" s="843"/>
      <c r="AH97" s="305"/>
      <c r="AI97" s="308"/>
      <c r="AJ97" s="309"/>
      <c r="AK97" s="309"/>
      <c r="AL97" s="309"/>
      <c r="AM97" s="309"/>
      <c r="AN97" s="309"/>
      <c r="AO97" s="309"/>
      <c r="AP97" s="309"/>
      <c r="AQ97" s="309"/>
    </row>
    <row r="98" spans="1:43">
      <c r="A98" s="843"/>
      <c r="B98" s="843"/>
      <c r="C98" s="843"/>
      <c r="D98" s="843"/>
      <c r="E98" s="843"/>
      <c r="F98" s="843"/>
      <c r="G98" s="843"/>
      <c r="H98" s="843"/>
      <c r="I98" s="843"/>
      <c r="J98" s="843"/>
      <c r="K98" s="843"/>
      <c r="L98" s="843"/>
      <c r="M98" s="843"/>
      <c r="N98" s="843"/>
      <c r="O98" s="843"/>
      <c r="P98" s="843"/>
      <c r="Q98" s="843"/>
      <c r="R98" s="843"/>
      <c r="S98" s="843"/>
      <c r="T98" s="843"/>
      <c r="U98" s="843"/>
      <c r="V98" s="843"/>
      <c r="W98" s="843"/>
      <c r="X98" s="843"/>
      <c r="Y98" s="843"/>
      <c r="Z98" s="843"/>
      <c r="AA98" s="843"/>
      <c r="AB98" s="843"/>
      <c r="AC98" s="843"/>
      <c r="AD98" s="843"/>
      <c r="AE98" s="843"/>
      <c r="AF98" s="843"/>
      <c r="AG98" s="843"/>
      <c r="AH98" s="305"/>
      <c r="AI98" s="308"/>
      <c r="AJ98" s="309"/>
      <c r="AK98" s="309"/>
      <c r="AL98" s="309"/>
      <c r="AM98" s="309"/>
      <c r="AN98" s="309"/>
      <c r="AO98" s="309"/>
      <c r="AP98" s="309"/>
      <c r="AQ98" s="309"/>
    </row>
    <row r="99" spans="1:43">
      <c r="A99" s="311" t="s">
        <v>324</v>
      </c>
      <c r="B99" s="311"/>
      <c r="C99" s="311"/>
      <c r="D99" s="311"/>
      <c r="E99" s="311"/>
      <c r="F99" s="311"/>
      <c r="G99" s="311"/>
      <c r="H99" s="311"/>
      <c r="I99" s="311"/>
      <c r="J99" s="311"/>
      <c r="K99" s="311"/>
      <c r="L99" s="311"/>
      <c r="M99" s="311"/>
      <c r="N99" s="311"/>
      <c r="O99" s="311"/>
      <c r="P99" s="311"/>
      <c r="Q99" s="311"/>
      <c r="R99" s="311"/>
      <c r="S99" s="311"/>
      <c r="T99" s="311"/>
      <c r="U99" s="311"/>
      <c r="V99" s="311"/>
      <c r="W99" s="311"/>
      <c r="X99" s="311"/>
      <c r="Y99" s="311"/>
      <c r="Z99" s="311"/>
      <c r="AA99" s="311"/>
      <c r="AB99" s="311"/>
      <c r="AC99" s="311"/>
      <c r="AD99" s="311"/>
      <c r="AE99" s="311"/>
      <c r="AF99" s="311"/>
      <c r="AG99" s="311"/>
      <c r="AH99" s="305"/>
      <c r="AI99" s="308"/>
      <c r="AJ99" s="309"/>
      <c r="AK99" s="309"/>
      <c r="AL99" s="309"/>
      <c r="AM99" s="309"/>
      <c r="AN99" s="309"/>
      <c r="AO99" s="309"/>
      <c r="AP99" s="309"/>
      <c r="AQ99" s="309"/>
    </row>
    <row r="100" spans="1:43">
      <c r="A100" s="474" t="s">
        <v>325</v>
      </c>
      <c r="B100" s="311"/>
      <c r="C100" s="311"/>
      <c r="D100" s="311"/>
      <c r="E100" s="311"/>
      <c r="F100" s="311"/>
      <c r="G100" s="311"/>
      <c r="H100" s="311"/>
      <c r="I100" s="311"/>
      <c r="J100" s="311"/>
      <c r="K100" s="311"/>
      <c r="L100" s="311"/>
      <c r="M100" s="311"/>
      <c r="N100" s="311"/>
      <c r="O100" s="311"/>
      <c r="P100" s="311"/>
      <c r="Q100" s="311"/>
      <c r="R100" s="311"/>
      <c r="S100" s="311"/>
      <c r="T100" s="311"/>
      <c r="U100" s="311"/>
      <c r="V100" s="311"/>
      <c r="W100" s="311"/>
      <c r="X100" s="311"/>
      <c r="Y100" s="311"/>
      <c r="Z100" s="311"/>
      <c r="AA100" s="311"/>
      <c r="AB100" s="311"/>
      <c r="AC100" s="311"/>
      <c r="AD100" s="311"/>
      <c r="AE100" s="311"/>
      <c r="AF100" s="311"/>
      <c r="AG100" s="311"/>
      <c r="AH100" s="305"/>
      <c r="AI100" s="308"/>
      <c r="AJ100" s="309"/>
      <c r="AK100" s="309"/>
      <c r="AL100" s="309"/>
      <c r="AM100" s="309"/>
      <c r="AN100" s="309"/>
      <c r="AO100" s="309"/>
      <c r="AP100" s="309"/>
      <c r="AQ100" s="309"/>
    </row>
    <row r="101" spans="1:43">
      <c r="A101" s="474" t="s">
        <v>330</v>
      </c>
      <c r="B101" s="474"/>
      <c r="C101" s="474"/>
      <c r="D101" s="474"/>
      <c r="E101" s="474"/>
      <c r="F101" s="474"/>
      <c r="G101" s="474"/>
      <c r="H101" s="474"/>
      <c r="I101" s="474"/>
      <c r="J101" s="474"/>
      <c r="K101" s="474"/>
      <c r="L101" s="474"/>
      <c r="M101" s="474"/>
      <c r="N101" s="474"/>
      <c r="O101" s="474"/>
      <c r="P101" s="474"/>
      <c r="Q101" s="474"/>
      <c r="R101" s="474"/>
      <c r="S101" s="474"/>
      <c r="T101" s="474"/>
      <c r="U101" s="474"/>
      <c r="V101" s="474"/>
      <c r="W101" s="474"/>
      <c r="X101" s="474"/>
      <c r="Y101" s="474"/>
      <c r="Z101" s="474"/>
      <c r="AA101" s="474"/>
      <c r="AB101" s="474"/>
      <c r="AC101" s="474"/>
      <c r="AD101" s="474"/>
      <c r="AE101" s="474"/>
      <c r="AF101" s="474"/>
      <c r="AG101" s="474"/>
      <c r="AH101" s="305"/>
      <c r="AI101" s="308"/>
      <c r="AJ101" s="309"/>
      <c r="AK101" s="309"/>
      <c r="AL101" s="309"/>
      <c r="AM101" s="309"/>
      <c r="AN101" s="309"/>
      <c r="AO101" s="309"/>
      <c r="AP101" s="309"/>
      <c r="AQ101" s="309"/>
    </row>
    <row r="102" spans="1:43">
      <c r="A102" s="401"/>
      <c r="B102" s="401"/>
      <c r="C102" s="401"/>
      <c r="D102" s="401"/>
      <c r="E102" s="401"/>
      <c r="F102" s="401"/>
      <c r="G102" s="401"/>
      <c r="H102" s="401"/>
      <c r="I102" s="401"/>
      <c r="J102" s="401"/>
      <c r="K102" s="401"/>
      <c r="L102" s="401"/>
      <c r="M102" s="401"/>
      <c r="N102" s="401"/>
      <c r="O102" s="401"/>
      <c r="P102" s="401"/>
      <c r="Q102" s="401"/>
      <c r="R102" s="401"/>
      <c r="S102" s="401"/>
      <c r="T102" s="401"/>
      <c r="U102" s="401"/>
      <c r="V102" s="401"/>
      <c r="W102" s="401"/>
      <c r="X102" s="401"/>
      <c r="Y102" s="401"/>
      <c r="Z102" s="401"/>
      <c r="AA102" s="401"/>
      <c r="AB102" s="401"/>
      <c r="AC102" s="401"/>
      <c r="AD102" s="401"/>
      <c r="AE102" s="401"/>
      <c r="AF102" s="401"/>
      <c r="AG102" s="401"/>
      <c r="AH102" s="402"/>
      <c r="AI102" s="308"/>
      <c r="AJ102" s="309"/>
      <c r="AK102" s="309"/>
      <c r="AL102" s="309"/>
      <c r="AM102" s="309"/>
      <c r="AN102" s="309"/>
      <c r="AO102" s="309"/>
      <c r="AP102" s="309"/>
      <c r="AQ102" s="309"/>
    </row>
    <row r="103" spans="1:43">
      <c r="A103" s="885" t="s">
        <v>328</v>
      </c>
      <c r="B103" s="885"/>
      <c r="C103" s="885"/>
      <c r="D103" s="885"/>
      <c r="E103" s="885"/>
      <c r="F103" s="885"/>
      <c r="G103" s="885"/>
      <c r="H103" s="885"/>
      <c r="I103" s="885"/>
      <c r="J103" s="885"/>
      <c r="K103" s="885"/>
      <c r="L103" s="885"/>
      <c r="M103" s="885"/>
      <c r="N103" s="885"/>
      <c r="O103" s="885"/>
      <c r="P103" s="885"/>
      <c r="Q103" s="885"/>
      <c r="R103" s="885"/>
      <c r="S103" s="885"/>
      <c r="T103" s="885"/>
      <c r="U103" s="885"/>
      <c r="V103" s="885"/>
      <c r="W103" s="885"/>
      <c r="X103" s="885"/>
      <c r="Y103" s="885"/>
      <c r="Z103" s="885"/>
      <c r="AA103" s="885"/>
      <c r="AB103" s="885"/>
      <c r="AC103" s="885"/>
      <c r="AD103" s="885"/>
      <c r="AE103" s="885"/>
      <c r="AF103" s="885"/>
      <c r="AG103" s="885"/>
      <c r="AH103" s="349"/>
      <c r="AI103" s="402"/>
      <c r="AJ103" s="309"/>
      <c r="AK103" s="309"/>
      <c r="AL103" s="309"/>
      <c r="AM103" s="309"/>
      <c r="AN103" s="309"/>
      <c r="AO103" s="309"/>
      <c r="AP103" s="309"/>
      <c r="AQ103" s="309"/>
    </row>
    <row r="104" spans="1:43">
      <c r="A104" s="888" t="s">
        <v>224</v>
      </c>
      <c r="B104" s="888"/>
      <c r="C104" s="888"/>
      <c r="D104" s="888"/>
      <c r="E104" s="888"/>
      <c r="F104" s="888"/>
      <c r="G104" s="888"/>
      <c r="H104" s="888"/>
      <c r="I104" s="888"/>
      <c r="J104" s="888"/>
      <c r="K104" s="888"/>
      <c r="L104" s="888"/>
      <c r="M104" s="888"/>
      <c r="N104" s="888"/>
      <c r="O104" s="888"/>
      <c r="P104" s="888"/>
      <c r="Q104" s="888"/>
      <c r="R104" s="888"/>
      <c r="S104" s="888"/>
      <c r="T104" s="888"/>
      <c r="U104" s="888"/>
      <c r="V104" s="888"/>
      <c r="W104" s="888"/>
      <c r="X104" s="888"/>
      <c r="Y104" s="888"/>
      <c r="Z104" s="888"/>
      <c r="AA104" s="888"/>
      <c r="AB104" s="888"/>
      <c r="AC104" s="888"/>
      <c r="AD104" s="888"/>
      <c r="AE104" s="888"/>
      <c r="AF104" s="888"/>
      <c r="AG104" s="888"/>
      <c r="AH104" s="311"/>
      <c r="AI104" s="402"/>
      <c r="AJ104" s="309"/>
      <c r="AK104" s="309"/>
      <c r="AL104" s="309"/>
      <c r="AM104" s="309"/>
      <c r="AN104" s="309"/>
      <c r="AO104" s="309"/>
      <c r="AP104" s="309"/>
      <c r="AQ104" s="309"/>
    </row>
    <row r="105" spans="1:43">
      <c r="A105" s="888" t="s">
        <v>225</v>
      </c>
      <c r="B105" s="888"/>
      <c r="C105" s="888"/>
      <c r="D105" s="888"/>
      <c r="E105" s="888"/>
      <c r="F105" s="888"/>
      <c r="G105" s="888"/>
      <c r="H105" s="888"/>
      <c r="I105" s="888"/>
      <c r="J105" s="888"/>
      <c r="K105" s="888"/>
      <c r="L105" s="888"/>
      <c r="M105" s="888"/>
      <c r="N105" s="888"/>
      <c r="O105" s="888"/>
      <c r="P105" s="888"/>
      <c r="Q105" s="888"/>
      <c r="R105" s="888"/>
      <c r="S105" s="888"/>
      <c r="T105" s="888"/>
      <c r="U105" s="888"/>
      <c r="V105" s="888"/>
      <c r="W105" s="888"/>
      <c r="X105" s="888"/>
      <c r="Y105" s="888"/>
      <c r="Z105" s="888"/>
      <c r="AA105" s="888"/>
      <c r="AB105" s="888"/>
      <c r="AC105" s="888"/>
      <c r="AD105" s="888"/>
      <c r="AE105" s="888"/>
      <c r="AF105" s="888"/>
      <c r="AG105" s="888"/>
      <c r="AH105" s="311"/>
      <c r="AI105" s="402"/>
      <c r="AJ105" s="309"/>
      <c r="AK105" s="309"/>
      <c r="AL105" s="309"/>
      <c r="AM105" s="309"/>
      <c r="AN105" s="309"/>
      <c r="AO105" s="309"/>
      <c r="AP105" s="309"/>
      <c r="AQ105" s="309"/>
    </row>
    <row r="106" spans="1:43">
      <c r="A106" s="888" t="s">
        <v>446</v>
      </c>
      <c r="B106" s="888"/>
      <c r="C106" s="888"/>
      <c r="D106" s="888"/>
      <c r="E106" s="888"/>
      <c r="F106" s="888"/>
      <c r="G106" s="888"/>
      <c r="H106" s="888"/>
      <c r="I106" s="888"/>
      <c r="J106" s="888"/>
      <c r="K106" s="888"/>
      <c r="L106" s="888"/>
      <c r="M106" s="888"/>
      <c r="N106" s="888"/>
      <c r="O106" s="888"/>
      <c r="P106" s="888"/>
      <c r="Q106" s="888"/>
      <c r="R106" s="888"/>
      <c r="S106" s="888"/>
      <c r="T106" s="888"/>
      <c r="U106" s="888"/>
      <c r="V106" s="888"/>
      <c r="W106" s="888"/>
      <c r="X106" s="888"/>
      <c r="Y106" s="888"/>
      <c r="Z106" s="888"/>
      <c r="AA106" s="888"/>
      <c r="AB106" s="888"/>
      <c r="AC106" s="888"/>
      <c r="AD106" s="888"/>
      <c r="AE106" s="888"/>
      <c r="AF106" s="888"/>
      <c r="AG106" s="888"/>
      <c r="AH106" s="311"/>
      <c r="AI106" s="305"/>
      <c r="AJ106" s="309"/>
      <c r="AK106" s="309"/>
      <c r="AL106" s="309"/>
      <c r="AM106" s="309"/>
      <c r="AN106" s="309"/>
      <c r="AO106" s="309"/>
      <c r="AP106" s="309"/>
      <c r="AQ106" s="309"/>
    </row>
    <row r="107" spans="1:43">
      <c r="AH107" s="311"/>
      <c r="AI107" s="308"/>
      <c r="AJ107" s="309"/>
      <c r="AK107" s="309"/>
      <c r="AL107" s="309"/>
      <c r="AM107" s="309"/>
      <c r="AN107" s="309"/>
      <c r="AO107" s="309"/>
      <c r="AP107" s="309"/>
      <c r="AQ107" s="309"/>
    </row>
    <row r="108" spans="1:43">
      <c r="A108" s="889"/>
      <c r="B108" s="889"/>
      <c r="C108" s="889"/>
      <c r="D108" s="889"/>
      <c r="E108" s="889"/>
      <c r="F108" s="889"/>
      <c r="G108" s="889"/>
      <c r="H108" s="889"/>
      <c r="I108" s="889"/>
      <c r="J108" s="889"/>
      <c r="K108" s="889"/>
      <c r="L108" s="889"/>
      <c r="M108" s="889"/>
      <c r="N108" s="889"/>
      <c r="O108" s="889"/>
      <c r="P108" s="889"/>
      <c r="Q108" s="889"/>
      <c r="R108" s="889"/>
      <c r="S108" s="889"/>
      <c r="T108" s="889"/>
      <c r="U108" s="889"/>
      <c r="V108" s="889"/>
      <c r="W108" s="889"/>
      <c r="X108" s="889"/>
      <c r="Y108" s="889"/>
      <c r="Z108" s="889"/>
      <c r="AA108" s="889"/>
      <c r="AB108" s="889"/>
      <c r="AC108" s="889"/>
      <c r="AD108" s="889"/>
      <c r="AE108" s="889"/>
      <c r="AF108" s="889"/>
      <c r="AG108" s="889"/>
      <c r="AH108" s="311"/>
      <c r="AI108" s="308"/>
      <c r="AJ108" s="309"/>
      <c r="AK108" s="309"/>
      <c r="AL108" s="309"/>
      <c r="AM108" s="309"/>
      <c r="AN108" s="309"/>
      <c r="AO108" s="309"/>
      <c r="AP108" s="309"/>
      <c r="AQ108" s="309"/>
    </row>
    <row r="109" spans="1:43">
      <c r="A109" s="311"/>
      <c r="B109" s="311"/>
      <c r="C109" s="311"/>
      <c r="D109" s="311"/>
      <c r="E109" s="311"/>
      <c r="F109" s="311"/>
      <c r="G109" s="311"/>
      <c r="H109" s="311"/>
      <c r="I109" s="311"/>
      <c r="J109" s="311"/>
      <c r="K109" s="311"/>
      <c r="L109" s="311"/>
      <c r="M109" s="311"/>
      <c r="N109" s="311"/>
      <c r="O109" s="311"/>
      <c r="P109" s="311"/>
      <c r="Q109" s="311"/>
      <c r="R109" s="311"/>
      <c r="S109" s="311"/>
      <c r="T109" s="311"/>
      <c r="U109" s="311"/>
      <c r="V109" s="311"/>
      <c r="W109" s="311"/>
      <c r="X109" s="311"/>
      <c r="Y109" s="311"/>
      <c r="Z109" s="311"/>
      <c r="AA109" s="311"/>
      <c r="AB109" s="311"/>
      <c r="AC109" s="311"/>
      <c r="AD109" s="311"/>
      <c r="AE109" s="311"/>
      <c r="AF109" s="311"/>
      <c r="AG109" s="311"/>
      <c r="AH109" s="311"/>
      <c r="AI109" s="308"/>
      <c r="AJ109" s="309"/>
      <c r="AK109" s="309"/>
      <c r="AL109" s="309"/>
      <c r="AM109" s="309"/>
      <c r="AN109" s="309"/>
      <c r="AO109" s="309"/>
      <c r="AP109" s="309"/>
      <c r="AQ109" s="309"/>
    </row>
    <row r="110" spans="1:43" ht="15.75" thickBot="1">
      <c r="A110" s="311"/>
      <c r="B110" s="311"/>
      <c r="C110" s="311"/>
      <c r="D110" s="311"/>
      <c r="E110" s="403"/>
      <c r="F110" s="403"/>
      <c r="G110" s="403"/>
      <c r="H110" s="403"/>
      <c r="I110" s="311"/>
      <c r="J110" s="311"/>
      <c r="K110" s="311"/>
      <c r="L110" s="311"/>
      <c r="M110" s="311"/>
      <c r="N110" s="311"/>
      <c r="O110" s="311"/>
      <c r="P110" s="311"/>
      <c r="Q110" s="311"/>
      <c r="R110" s="311"/>
      <c r="S110" s="311"/>
      <c r="T110" s="311"/>
      <c r="U110" s="404"/>
      <c r="V110" s="404"/>
      <c r="W110" s="404"/>
      <c r="X110" s="404"/>
      <c r="Y110" s="405"/>
      <c r="Z110" s="405"/>
      <c r="AA110" s="405"/>
      <c r="AB110" s="405"/>
      <c r="AC110" s="405"/>
      <c r="AD110" s="386"/>
      <c r="AE110" s="386"/>
      <c r="AF110" s="386"/>
      <c r="AG110" s="386"/>
      <c r="AH110" s="406"/>
      <c r="AI110" s="308"/>
      <c r="AJ110" s="309"/>
      <c r="AK110" s="309"/>
      <c r="AL110" s="309"/>
      <c r="AM110" s="309"/>
      <c r="AN110" s="309"/>
      <c r="AO110" s="309"/>
      <c r="AP110" s="309"/>
      <c r="AQ110" s="309"/>
    </row>
    <row r="111" spans="1:43">
      <c r="A111" s="311"/>
      <c r="B111" s="311"/>
      <c r="C111" s="311"/>
      <c r="D111" s="890" t="str">
        <f>'Registro Original'!E407</f>
        <v>Marcelo Freire</v>
      </c>
      <c r="E111" s="890"/>
      <c r="F111" s="890"/>
      <c r="G111" s="890"/>
      <c r="H111" s="890"/>
      <c r="I111" s="890"/>
      <c r="J111" s="890"/>
      <c r="K111" s="890"/>
      <c r="L111" s="890"/>
      <c r="M111" s="890"/>
      <c r="N111" s="890"/>
      <c r="O111" s="890"/>
      <c r="P111" s="890"/>
      <c r="Q111" s="311"/>
      <c r="R111" s="311"/>
      <c r="S111" s="890"/>
      <c r="T111" s="890"/>
      <c r="U111" s="890"/>
      <c r="V111" s="890"/>
      <c r="W111" s="890"/>
      <c r="X111" s="890"/>
      <c r="Y111" s="890"/>
      <c r="Z111" s="890"/>
      <c r="AA111" s="890"/>
      <c r="AB111" s="890"/>
      <c r="AC111" s="890"/>
      <c r="AD111" s="890"/>
      <c r="AE111" s="890"/>
      <c r="AF111" s="407"/>
      <c r="AG111" s="407"/>
      <c r="AH111" s="407"/>
      <c r="AI111" s="407"/>
      <c r="AJ111" s="408"/>
      <c r="AK111" s="308"/>
      <c r="AL111" s="309"/>
      <c r="AM111" s="309"/>
      <c r="AN111" s="309"/>
      <c r="AO111" s="309"/>
      <c r="AP111" s="309"/>
      <c r="AQ111" s="309"/>
    </row>
    <row r="112" spans="1:43">
      <c r="A112" s="409"/>
      <c r="B112" s="409"/>
      <c r="C112" s="409"/>
      <c r="D112" s="891" t="s">
        <v>226</v>
      </c>
      <c r="E112" s="891"/>
      <c r="F112" s="891"/>
      <c r="G112" s="891"/>
      <c r="H112" s="891"/>
      <c r="I112" s="891"/>
      <c r="J112" s="891"/>
      <c r="K112" s="891"/>
      <c r="L112" s="891"/>
      <c r="M112" s="891"/>
      <c r="N112" s="891"/>
      <c r="O112" s="891"/>
      <c r="P112" s="891"/>
      <c r="Q112" s="409"/>
      <c r="R112" s="409"/>
      <c r="S112" s="891" t="s">
        <v>227</v>
      </c>
      <c r="T112" s="891"/>
      <c r="U112" s="891"/>
      <c r="V112" s="891"/>
      <c r="W112" s="891"/>
      <c r="X112" s="891"/>
      <c r="Y112" s="891"/>
      <c r="Z112" s="891"/>
      <c r="AA112" s="891"/>
      <c r="AB112" s="891"/>
      <c r="AC112" s="891"/>
      <c r="AD112" s="891"/>
      <c r="AE112" s="891"/>
      <c r="AF112" s="891" t="str">
        <f>AF74</f>
        <v>DM-88-R0</v>
      </c>
      <c r="AG112" s="891"/>
      <c r="AH112" s="891"/>
      <c r="AI112" s="305"/>
      <c r="AJ112" s="409"/>
      <c r="AK112" s="308"/>
      <c r="AL112" s="309"/>
      <c r="AM112" s="309"/>
      <c r="AN112" s="309"/>
      <c r="AO112" s="309"/>
      <c r="AP112" s="309"/>
      <c r="AQ112" s="309"/>
    </row>
    <row r="113" spans="1:43">
      <c r="A113" s="409"/>
      <c r="B113" s="409"/>
      <c r="C113" s="409"/>
      <c r="D113" s="386"/>
      <c r="E113" s="386"/>
      <c r="F113" s="386"/>
      <c r="G113" s="386"/>
      <c r="H113" s="386"/>
      <c r="I113" s="386"/>
      <c r="J113" s="386"/>
      <c r="K113" s="386"/>
      <c r="L113" s="386"/>
      <c r="M113" s="386"/>
      <c r="N113" s="386"/>
      <c r="O113" s="386"/>
      <c r="P113" s="386"/>
      <c r="Q113" s="409"/>
      <c r="R113" s="409"/>
      <c r="S113" s="386"/>
      <c r="T113" s="386"/>
      <c r="U113" s="386"/>
      <c r="V113" s="386"/>
      <c r="W113" s="386"/>
      <c r="X113" s="386"/>
      <c r="Y113" s="386"/>
      <c r="Z113" s="386"/>
      <c r="AA113" s="386"/>
      <c r="AB113" s="386"/>
      <c r="AC113" s="386"/>
      <c r="AD113" s="386"/>
      <c r="AE113" s="386"/>
      <c r="AF113" s="410" t="s">
        <v>222</v>
      </c>
      <c r="AG113" s="553" t="s">
        <v>327</v>
      </c>
      <c r="AH113" s="305"/>
      <c r="AI113" s="305"/>
      <c r="AJ113" s="409"/>
      <c r="AK113" s="308"/>
      <c r="AL113" s="309"/>
      <c r="AM113" s="309"/>
      <c r="AN113" s="309"/>
      <c r="AO113" s="309"/>
      <c r="AP113" s="309"/>
      <c r="AQ113" s="309"/>
    </row>
    <row r="114" spans="1:43">
      <c r="AH114" s="411"/>
      <c r="AI114" s="411"/>
      <c r="AJ114" s="309"/>
      <c r="AK114" s="309"/>
      <c r="AL114" s="309"/>
      <c r="AM114" s="309"/>
      <c r="AN114" s="309"/>
      <c r="AO114" s="309"/>
      <c r="AP114" s="309"/>
      <c r="AQ114" s="309"/>
    </row>
    <row r="115" spans="1:43">
      <c r="AH115" s="412"/>
      <c r="AI115" s="412"/>
      <c r="AJ115" s="309"/>
      <c r="AK115" s="309"/>
      <c r="AL115" s="309"/>
      <c r="AM115" s="309"/>
      <c r="AN115" s="309"/>
      <c r="AO115" s="309"/>
      <c r="AP115" s="309"/>
      <c r="AQ115" s="309"/>
    </row>
    <row r="147" spans="1:33">
      <c r="A147" s="884" t="s">
        <v>220</v>
      </c>
      <c r="B147" s="884"/>
      <c r="C147" s="884"/>
      <c r="D147" s="884"/>
      <c r="E147" s="884"/>
      <c r="F147" s="884"/>
      <c r="G147" s="884"/>
      <c r="H147" s="884"/>
      <c r="I147" s="884"/>
      <c r="J147" s="884"/>
      <c r="K147" s="884"/>
      <c r="L147" s="884"/>
      <c r="M147" s="884"/>
      <c r="N147" s="884"/>
      <c r="O147" s="884"/>
      <c r="P147" s="884"/>
      <c r="Q147" s="884"/>
      <c r="R147" s="884"/>
      <c r="S147" s="884"/>
      <c r="T147" s="884"/>
      <c r="U147" s="884"/>
      <c r="V147" s="884"/>
      <c r="W147" s="884"/>
      <c r="X147" s="884"/>
      <c r="Y147" s="884"/>
      <c r="Z147" s="884"/>
      <c r="AA147" s="884"/>
      <c r="AB147" s="884"/>
      <c r="AC147" s="884"/>
      <c r="AD147" s="884"/>
      <c r="AE147" s="884"/>
      <c r="AF147" s="884"/>
      <c r="AG147" s="884"/>
    </row>
    <row r="148" spans="1:33">
      <c r="A148" s="887" t="s">
        <v>221</v>
      </c>
      <c r="B148" s="887"/>
      <c r="C148" s="887"/>
      <c r="D148" s="887"/>
      <c r="E148" s="887"/>
      <c r="F148" s="887"/>
      <c r="G148" s="887"/>
      <c r="H148" s="887"/>
      <c r="I148" s="887"/>
      <c r="J148" s="887"/>
      <c r="K148" s="887"/>
      <c r="L148" s="887"/>
      <c r="M148" s="887"/>
      <c r="N148" s="887"/>
      <c r="O148" s="887"/>
      <c r="P148" s="887"/>
      <c r="Q148" s="887"/>
      <c r="R148" s="887"/>
      <c r="S148" s="887"/>
      <c r="T148" s="887"/>
      <c r="U148" s="887"/>
      <c r="V148" s="887"/>
      <c r="W148" s="887"/>
      <c r="X148" s="887"/>
      <c r="Y148" s="887"/>
      <c r="Z148" s="887"/>
      <c r="AA148" s="887"/>
      <c r="AB148" s="887"/>
      <c r="AC148" s="887"/>
      <c r="AD148" s="887"/>
      <c r="AE148" s="887"/>
      <c r="AF148" s="887"/>
      <c r="AG148" s="887"/>
    </row>
  </sheetData>
  <dataConsolidate/>
  <mergeCells count="341">
    <mergeCell ref="N62:P62"/>
    <mergeCell ref="Q62:S62"/>
    <mergeCell ref="T62:Y62"/>
    <mergeCell ref="Z62:AF62"/>
    <mergeCell ref="J62:M62"/>
    <mergeCell ref="F62:I62"/>
    <mergeCell ref="B62:E62"/>
    <mergeCell ref="N60:P60"/>
    <mergeCell ref="Q60:S60"/>
    <mergeCell ref="T60:Y60"/>
    <mergeCell ref="Z60:AF60"/>
    <mergeCell ref="N61:P61"/>
    <mergeCell ref="Q61:S61"/>
    <mergeCell ref="T61:Y61"/>
    <mergeCell ref="Z61:AF61"/>
    <mergeCell ref="J60:M60"/>
    <mergeCell ref="J61:M61"/>
    <mergeCell ref="F60:I60"/>
    <mergeCell ref="F61:I61"/>
    <mergeCell ref="B60:E60"/>
    <mergeCell ref="B61:E61"/>
    <mergeCell ref="H51:M51"/>
    <mergeCell ref="Q51:S51"/>
    <mergeCell ref="T50:Y50"/>
    <mergeCell ref="T58:Y58"/>
    <mergeCell ref="Z58:AF58"/>
    <mergeCell ref="N59:P59"/>
    <mergeCell ref="Q59:S59"/>
    <mergeCell ref="T59:Y59"/>
    <mergeCell ref="Z59:AF59"/>
    <mergeCell ref="J59:M59"/>
    <mergeCell ref="J58:M58"/>
    <mergeCell ref="F58:I58"/>
    <mergeCell ref="F59:I59"/>
    <mergeCell ref="N58:P58"/>
    <mergeCell ref="Q58:S58"/>
    <mergeCell ref="B52:AF52"/>
    <mergeCell ref="N51:P51"/>
    <mergeCell ref="T51:Y51"/>
    <mergeCell ref="B38:AF38"/>
    <mergeCell ref="Z41:AF41"/>
    <mergeCell ref="Z42:AF42"/>
    <mergeCell ref="Z45:AF45"/>
    <mergeCell ref="Z46:AF46"/>
    <mergeCell ref="Z47:AF47"/>
    <mergeCell ref="B40:AF40"/>
    <mergeCell ref="N47:P47"/>
    <mergeCell ref="N48:P48"/>
    <mergeCell ref="T45:Y45"/>
    <mergeCell ref="T46:Y46"/>
    <mergeCell ref="T47:Y47"/>
    <mergeCell ref="T48:Y48"/>
    <mergeCell ref="B43:G43"/>
    <mergeCell ref="H43:M43"/>
    <mergeCell ref="N43:P43"/>
    <mergeCell ref="Q43:S43"/>
    <mergeCell ref="T43:Y43"/>
    <mergeCell ref="Z43:AF43"/>
    <mergeCell ref="B46:G46"/>
    <mergeCell ref="Q46:S46"/>
    <mergeCell ref="Q47:S47"/>
    <mergeCell ref="Q48:S48"/>
    <mergeCell ref="B45:G45"/>
    <mergeCell ref="I1:AC2"/>
    <mergeCell ref="C4:F4"/>
    <mergeCell ref="W4:AB4"/>
    <mergeCell ref="H5:Y5"/>
    <mergeCell ref="F6:AG6"/>
    <mergeCell ref="A7:C7"/>
    <mergeCell ref="D7:AA7"/>
    <mergeCell ref="AD7:AG7"/>
    <mergeCell ref="F8:AG8"/>
    <mergeCell ref="AD10:AG10"/>
    <mergeCell ref="A12:AG12"/>
    <mergeCell ref="A14:C14"/>
    <mergeCell ref="N14:P14"/>
    <mergeCell ref="Q14:V14"/>
    <mergeCell ref="AB14:AF14"/>
    <mergeCell ref="D14:K14"/>
    <mergeCell ref="D15:K15"/>
    <mergeCell ref="A9:C9"/>
    <mergeCell ref="D9:AA9"/>
    <mergeCell ref="AD9:AG9"/>
    <mergeCell ref="A10:F10"/>
    <mergeCell ref="G10:J10"/>
    <mergeCell ref="K10:N10"/>
    <mergeCell ref="O10:S10"/>
    <mergeCell ref="T10:W10"/>
    <mergeCell ref="X10:AA10"/>
    <mergeCell ref="AB16:AF16"/>
    <mergeCell ref="A16:C16"/>
    <mergeCell ref="A17:C17"/>
    <mergeCell ref="D16:K16"/>
    <mergeCell ref="A15:C15"/>
    <mergeCell ref="N15:P15"/>
    <mergeCell ref="Q15:V15"/>
    <mergeCell ref="Y15:AA15"/>
    <mergeCell ref="AB15:AF15"/>
    <mergeCell ref="Q16:V16"/>
    <mergeCell ref="X17:AA17"/>
    <mergeCell ref="AB17:AF17"/>
    <mergeCell ref="D17:K17"/>
    <mergeCell ref="L17:P17"/>
    <mergeCell ref="Q17:V17"/>
    <mergeCell ref="X16:AA16"/>
    <mergeCell ref="A21:AG21"/>
    <mergeCell ref="B23:G23"/>
    <mergeCell ref="H23:J23"/>
    <mergeCell ref="L23:Q23"/>
    <mergeCell ref="S23:X23"/>
    <mergeCell ref="Z23:AB23"/>
    <mergeCell ref="Y19:Z19"/>
    <mergeCell ref="A19:C19"/>
    <mergeCell ref="N19:P19"/>
    <mergeCell ref="Q19:V19"/>
    <mergeCell ref="D19:L19"/>
    <mergeCell ref="AA19:AF19"/>
    <mergeCell ref="AH24:AQ24"/>
    <mergeCell ref="A25:F25"/>
    <mergeCell ref="G25:H25"/>
    <mergeCell ref="I25:J25"/>
    <mergeCell ref="L25:Q25"/>
    <mergeCell ref="S25:X25"/>
    <mergeCell ref="Z25:AB25"/>
    <mergeCell ref="A24:F24"/>
    <mergeCell ref="G24:H24"/>
    <mergeCell ref="I24:J24"/>
    <mergeCell ref="L24:Q24"/>
    <mergeCell ref="S24:X24"/>
    <mergeCell ref="Z24:AB24"/>
    <mergeCell ref="A27:F27"/>
    <mergeCell ref="G27:H27"/>
    <mergeCell ref="I27:J27"/>
    <mergeCell ref="L27:Q27"/>
    <mergeCell ref="S27:X27"/>
    <mergeCell ref="Z27:AB27"/>
    <mergeCell ref="A26:F26"/>
    <mergeCell ref="G26:H26"/>
    <mergeCell ref="I26:J26"/>
    <mergeCell ref="L26:Q26"/>
    <mergeCell ref="S26:X26"/>
    <mergeCell ref="Z26:AB26"/>
    <mergeCell ref="Z36:AB36"/>
    <mergeCell ref="AC36:AF36"/>
    <mergeCell ref="A31:AG31"/>
    <mergeCell ref="A32:E33"/>
    <mergeCell ref="F32:G32"/>
    <mergeCell ref="H32:K33"/>
    <mergeCell ref="L32:M32"/>
    <mergeCell ref="N32:O32"/>
    <mergeCell ref="T32:X33"/>
    <mergeCell ref="Y32:Z32"/>
    <mergeCell ref="AA32:AB32"/>
    <mergeCell ref="F33:G33"/>
    <mergeCell ref="L33:M33"/>
    <mergeCell ref="N33:O33"/>
    <mergeCell ref="Y33:Z33"/>
    <mergeCell ref="AA33:AB33"/>
    <mergeCell ref="A35:AF35"/>
    <mergeCell ref="AH28:AQ28"/>
    <mergeCell ref="A29:F29"/>
    <mergeCell ref="G29:H29"/>
    <mergeCell ref="I29:J29"/>
    <mergeCell ref="S29:X29"/>
    <mergeCell ref="Z29:AB29"/>
    <mergeCell ref="AH29:AQ29"/>
    <mergeCell ref="A28:F28"/>
    <mergeCell ref="G28:H28"/>
    <mergeCell ref="I28:J28"/>
    <mergeCell ref="L28:Q28"/>
    <mergeCell ref="S28:X28"/>
    <mergeCell ref="Z28:AB28"/>
    <mergeCell ref="B64:AF64"/>
    <mergeCell ref="B65:E66"/>
    <mergeCell ref="F65:I66"/>
    <mergeCell ref="Z49:AF49"/>
    <mergeCell ref="Z50:AF50"/>
    <mergeCell ref="Z51:AF51"/>
    <mergeCell ref="B53:AF53"/>
    <mergeCell ref="B55:AF55"/>
    <mergeCell ref="N56:P56"/>
    <mergeCell ref="Q56:S56"/>
    <mergeCell ref="T56:Y56"/>
    <mergeCell ref="Z56:AF56"/>
    <mergeCell ref="B56:E57"/>
    <mergeCell ref="B51:G51"/>
    <mergeCell ref="B50:G50"/>
    <mergeCell ref="B58:E58"/>
    <mergeCell ref="B59:E59"/>
    <mergeCell ref="N57:P57"/>
    <mergeCell ref="Q57:S57"/>
    <mergeCell ref="T57:Y57"/>
    <mergeCell ref="Z57:AF57"/>
    <mergeCell ref="J56:M57"/>
    <mergeCell ref="F56:I57"/>
    <mergeCell ref="T49:Y49"/>
    <mergeCell ref="AH36:AQ36"/>
    <mergeCell ref="AH37:AQ37"/>
    <mergeCell ref="AF74:AH74"/>
    <mergeCell ref="B37:AF37"/>
    <mergeCell ref="B41:G42"/>
    <mergeCell ref="H41:M42"/>
    <mergeCell ref="N41:P41"/>
    <mergeCell ref="N42:P42"/>
    <mergeCell ref="Q41:S41"/>
    <mergeCell ref="Q42:S42"/>
    <mergeCell ref="T41:Y41"/>
    <mergeCell ref="T42:Y42"/>
    <mergeCell ref="A36:Y36"/>
    <mergeCell ref="H46:M46"/>
    <mergeCell ref="J65:M66"/>
    <mergeCell ref="N65:P65"/>
    <mergeCell ref="Q65:S65"/>
    <mergeCell ref="T65:Y65"/>
    <mergeCell ref="Z65:AF65"/>
    <mergeCell ref="N66:P66"/>
    <mergeCell ref="Q66:S66"/>
    <mergeCell ref="T66:Y66"/>
    <mergeCell ref="Z66:AF66"/>
    <mergeCell ref="B67:E67"/>
    <mergeCell ref="A148:AG148"/>
    <mergeCell ref="A104:AG104"/>
    <mergeCell ref="A105:AG105"/>
    <mergeCell ref="A106:AG106"/>
    <mergeCell ref="A108:AG108"/>
    <mergeCell ref="D111:P111"/>
    <mergeCell ref="S111:AE111"/>
    <mergeCell ref="D112:P112"/>
    <mergeCell ref="S112:AE112"/>
    <mergeCell ref="AF112:AH112"/>
    <mergeCell ref="B69:E69"/>
    <mergeCell ref="F69:I69"/>
    <mergeCell ref="J69:M69"/>
    <mergeCell ref="N69:P69"/>
    <mergeCell ref="Q69:S69"/>
    <mergeCell ref="T69:Y69"/>
    <mergeCell ref="Z69:AF69"/>
    <mergeCell ref="Q68:S68"/>
    <mergeCell ref="A147:AG147"/>
    <mergeCell ref="A103:AG103"/>
    <mergeCell ref="B70:E70"/>
    <mergeCell ref="F70:I70"/>
    <mergeCell ref="J70:M70"/>
    <mergeCell ref="N70:P70"/>
    <mergeCell ref="Q70:S70"/>
    <mergeCell ref="T70:Y70"/>
    <mergeCell ref="Z70:AF70"/>
    <mergeCell ref="B71:E71"/>
    <mergeCell ref="F71:I71"/>
    <mergeCell ref="J71:M71"/>
    <mergeCell ref="N71:P71"/>
    <mergeCell ref="Q71:S71"/>
    <mergeCell ref="T71:Y71"/>
    <mergeCell ref="Z71:AF71"/>
    <mergeCell ref="F67:I67"/>
    <mergeCell ref="J67:M67"/>
    <mergeCell ref="N67:P67"/>
    <mergeCell ref="Q67:S67"/>
    <mergeCell ref="T67:Y67"/>
    <mergeCell ref="Z67:AF67"/>
    <mergeCell ref="B68:E68"/>
    <mergeCell ref="F68:I68"/>
    <mergeCell ref="J68:M68"/>
    <mergeCell ref="N68:P68"/>
    <mergeCell ref="T68:Y68"/>
    <mergeCell ref="Z68:AF68"/>
    <mergeCell ref="C74:AE74"/>
    <mergeCell ref="C75:AE75"/>
    <mergeCell ref="K81:U81"/>
    <mergeCell ref="W81:AB81"/>
    <mergeCell ref="I78:AC79"/>
    <mergeCell ref="B87:E87"/>
    <mergeCell ref="F87:I87"/>
    <mergeCell ref="J87:M87"/>
    <mergeCell ref="N87:P87"/>
    <mergeCell ref="Q87:S87"/>
    <mergeCell ref="T87:Y87"/>
    <mergeCell ref="Z87:AF87"/>
    <mergeCell ref="B84:AF84"/>
    <mergeCell ref="B85:E86"/>
    <mergeCell ref="F85:I86"/>
    <mergeCell ref="J85:M86"/>
    <mergeCell ref="N85:P85"/>
    <mergeCell ref="Q85:S85"/>
    <mergeCell ref="T85:Y85"/>
    <mergeCell ref="Z85:AF85"/>
    <mergeCell ref="N86:P86"/>
    <mergeCell ref="Q86:S86"/>
    <mergeCell ref="T86:Y86"/>
    <mergeCell ref="Z86:AF86"/>
    <mergeCell ref="B88:E88"/>
    <mergeCell ref="F88:I88"/>
    <mergeCell ref="J88:M88"/>
    <mergeCell ref="N88:P88"/>
    <mergeCell ref="Q88:S88"/>
    <mergeCell ref="T88:Y88"/>
    <mergeCell ref="Z88:AF88"/>
    <mergeCell ref="B91:E91"/>
    <mergeCell ref="F91:I91"/>
    <mergeCell ref="J91:M91"/>
    <mergeCell ref="N91:P91"/>
    <mergeCell ref="Q91:S91"/>
    <mergeCell ref="T91:Y91"/>
    <mergeCell ref="Z91:AF91"/>
    <mergeCell ref="A97:AG98"/>
    <mergeCell ref="B89:E89"/>
    <mergeCell ref="F89:I89"/>
    <mergeCell ref="J89:M89"/>
    <mergeCell ref="N89:P89"/>
    <mergeCell ref="Q89:S89"/>
    <mergeCell ref="T89:Y89"/>
    <mergeCell ref="Z89:AF89"/>
    <mergeCell ref="B90:E90"/>
    <mergeCell ref="F90:I90"/>
    <mergeCell ref="J90:M90"/>
    <mergeCell ref="N90:P90"/>
    <mergeCell ref="Q90:S90"/>
    <mergeCell ref="T90:Y90"/>
    <mergeCell ref="Z90:AF90"/>
    <mergeCell ref="H45:M45"/>
    <mergeCell ref="N45:P45"/>
    <mergeCell ref="Q45:S45"/>
    <mergeCell ref="B44:G44"/>
    <mergeCell ref="H44:M44"/>
    <mergeCell ref="N44:P44"/>
    <mergeCell ref="Q44:S44"/>
    <mergeCell ref="T44:Y44"/>
    <mergeCell ref="Z44:AF44"/>
    <mergeCell ref="H47:M47"/>
    <mergeCell ref="H48:M48"/>
    <mergeCell ref="B47:G47"/>
    <mergeCell ref="B49:G49"/>
    <mergeCell ref="B48:G48"/>
    <mergeCell ref="Z48:AF48"/>
    <mergeCell ref="N46:P46"/>
    <mergeCell ref="N49:P49"/>
    <mergeCell ref="N50:P50"/>
    <mergeCell ref="Q49:S49"/>
    <mergeCell ref="Q50:S50"/>
    <mergeCell ref="H49:M49"/>
    <mergeCell ref="H50:M50"/>
  </mergeCells>
  <conditionalFormatting sqref="F6 D7:AA7 AD7:AG7 G10:J10 X10:AA10 Q14:V14 O10 AD9:AG9 N15 F8 D9:AA9 Z24:Z28 AA14:AB14 I24:I28 S24:S28 D14:D15 D19 Q15 Q19 Y15 X16:X17">
    <cfRule type="containsBlanks" dxfId="71" priority="25">
      <formula>LEN(TRIM(D6))=0</formula>
    </cfRule>
  </conditionalFormatting>
  <conditionalFormatting sqref="W81">
    <cfRule type="containsBlanks" dxfId="70" priority="24">
      <formula>LEN(TRIM(W81))=0</formula>
    </cfRule>
  </conditionalFormatting>
  <conditionalFormatting sqref="L24:Q28">
    <cfRule type="containsBlanks" dxfId="69" priority="23">
      <formula>LEN(TRIM(L24))=0</formula>
    </cfRule>
  </conditionalFormatting>
  <conditionalFormatting sqref="L32:M33">
    <cfRule type="containsBlanks" dxfId="68" priority="22">
      <formula>LEN(TRIM(L32))=0</formula>
    </cfRule>
  </conditionalFormatting>
  <conditionalFormatting sqref="Y32:Z33">
    <cfRule type="containsBlanks" dxfId="67" priority="21">
      <formula>LEN(TRIM(Y32))=0</formula>
    </cfRule>
  </conditionalFormatting>
  <conditionalFormatting sqref="Q15:V15">
    <cfRule type="containsBlanks" dxfId="66" priority="19">
      <formula>LEN(TRIM(Q15))=0</formula>
    </cfRule>
  </conditionalFormatting>
  <conditionalFormatting sqref="D111:P111">
    <cfRule type="containsBlanks" dxfId="65" priority="20">
      <formula>LEN(TRIM(D111))=0</formula>
    </cfRule>
  </conditionalFormatting>
  <conditionalFormatting sqref="AB15:AF15">
    <cfRule type="containsBlanks" dxfId="64" priority="16">
      <formula>LEN(TRIM(AB15))=0</formula>
    </cfRule>
    <cfRule type="containsBlanks" priority="17">
      <formula>LEN(TRIM(AB15))=0</formula>
    </cfRule>
  </conditionalFormatting>
  <conditionalFormatting sqref="Y19:Z19">
    <cfRule type="containsBlanks" dxfId="63" priority="15">
      <formula>LEN(TRIM(Y19))=0</formula>
    </cfRule>
  </conditionalFormatting>
  <conditionalFormatting sqref="AC36">
    <cfRule type="cellIs" dxfId="62" priority="14" operator="equal">
      <formula>"APROVADO"</formula>
    </cfRule>
  </conditionalFormatting>
  <conditionalFormatting sqref="S111:AE111">
    <cfRule type="containsBlanks" dxfId="61" priority="13">
      <formula>LEN(TRIM(S111))=0</formula>
    </cfRule>
  </conditionalFormatting>
  <conditionalFormatting sqref="AC36">
    <cfRule type="cellIs" dxfId="60" priority="12" operator="equal">
      <formula>"REPROVADO"</formula>
    </cfRule>
  </conditionalFormatting>
  <conditionalFormatting sqref="W4">
    <cfRule type="containsBlanks" dxfId="59" priority="11">
      <formula>LEN(TRIM(W4))=0</formula>
    </cfRule>
  </conditionalFormatting>
  <conditionalFormatting sqref="Z24:AB28">
    <cfRule type="timePeriod" dxfId="58" priority="6" timePeriod="thisMonth">
      <formula>AND(MONTH(Z24)=MONTH(TODAY()),YEAR(Z24)=YEAR(TODAY()))</formula>
    </cfRule>
  </conditionalFormatting>
  <dataValidations count="3">
    <dataValidation type="list" allowBlank="1" showInputMessage="1" showErrorMessage="1" sqref="D16:K16" xr:uid="{00000000-0002-0000-0100-000000000000}">
      <formula1>Tipo_de_Espectrofotômetro</formula1>
    </dataValidation>
    <dataValidation type="list" allowBlank="1" showInputMessage="1" showErrorMessage="1" sqref="D17:K17" xr:uid="{00000000-0002-0000-0100-000001000000}">
      <formula1>Tipo_de_Detecção</formula1>
    </dataValidation>
    <dataValidation type="list" allowBlank="1" showInputMessage="1" showErrorMessage="1" sqref="Q17:V17" xr:uid="{00000000-0002-0000-0100-000002000000}">
      <formula1>Larguras_de_Banda_Típicas</formula1>
    </dataValidation>
  </dataValidations>
  <pageMargins left="0.511811024" right="0.511811024" top="0.78740157499999996" bottom="0.78740157499999996" header="0.31496062000000002" footer="0.31496062000000002"/>
  <pageSetup paperSize="9" scale="65" fitToHeight="0" orientation="portrait" horizontalDpi="0" verticalDpi="0" r:id="rId1"/>
  <rowBreaks count="1" manualBreakCount="1">
    <brk id="75" max="3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C25"/>
  <sheetViews>
    <sheetView topLeftCell="A4" zoomScale="110" zoomScaleNormal="110" workbookViewId="0">
      <selection activeCell="J25" sqref="J25"/>
    </sheetView>
  </sheetViews>
  <sheetFormatPr defaultRowHeight="15"/>
  <cols>
    <col min="1" max="1" width="2.85546875" customWidth="1"/>
    <col min="8" max="8" width="9.5703125" bestFit="1" customWidth="1"/>
    <col min="9" max="9" width="10.42578125" bestFit="1" customWidth="1"/>
    <col min="12" max="12" width="10.7109375" bestFit="1" customWidth="1"/>
    <col min="13" max="13" width="10.42578125" bestFit="1" customWidth="1"/>
    <col min="14" max="14" width="10.7109375" bestFit="1" customWidth="1"/>
    <col min="15" max="15" width="10.42578125" bestFit="1" customWidth="1"/>
    <col min="26" max="27" width="9.5703125" customWidth="1"/>
    <col min="28" max="28" width="10.5703125" customWidth="1"/>
    <col min="29" max="36" width="9.5703125" customWidth="1"/>
    <col min="37" max="37" width="11" bestFit="1" customWidth="1"/>
    <col min="38" max="47" width="9.5703125" customWidth="1"/>
    <col min="55" max="55" width="28.5703125" customWidth="1"/>
  </cols>
  <sheetData>
    <row r="1" spans="2:55" ht="23.25" customHeight="1">
      <c r="B1" s="1004" t="s">
        <v>115</v>
      </c>
      <c r="C1" s="1004"/>
      <c r="D1" s="1004"/>
      <c r="E1" s="1004"/>
      <c r="F1" s="1004"/>
      <c r="G1" s="1004"/>
      <c r="H1" s="1004"/>
      <c r="I1" s="1004"/>
      <c r="J1" s="1004"/>
      <c r="K1" s="1004"/>
      <c r="L1" s="1004"/>
      <c r="M1" s="1004"/>
      <c r="N1" s="1004"/>
      <c r="O1" s="1004"/>
      <c r="P1" s="1004"/>
      <c r="Q1" s="1004"/>
      <c r="R1" s="1004"/>
      <c r="S1" s="1004"/>
      <c r="T1" s="1004"/>
      <c r="U1" s="1004"/>
      <c r="V1" s="1004"/>
      <c r="W1" s="1004"/>
      <c r="X1" s="1004"/>
      <c r="Y1" s="1004"/>
      <c r="Z1" s="1004"/>
    </row>
    <row r="2" spans="2:55" ht="23.25" customHeight="1">
      <c r="B2" s="1005" t="s">
        <v>450</v>
      </c>
      <c r="C2" s="1005"/>
      <c r="D2" s="1005"/>
      <c r="E2" s="1005"/>
      <c r="F2" s="1005"/>
      <c r="G2" s="1005"/>
      <c r="H2" s="1005"/>
      <c r="I2" s="1005"/>
      <c r="J2" s="1005"/>
      <c r="K2" s="1005"/>
      <c r="L2" s="1005"/>
      <c r="M2" s="1005"/>
      <c r="N2" s="1005"/>
      <c r="O2" s="1005"/>
      <c r="P2" s="1005"/>
      <c r="Q2" s="1005"/>
      <c r="R2" s="1005"/>
      <c r="S2" s="1005"/>
      <c r="T2" s="1005"/>
      <c r="U2" s="1005"/>
      <c r="V2" s="1005"/>
      <c r="W2" s="1005"/>
      <c r="X2" s="1005"/>
      <c r="Y2" s="1005"/>
      <c r="Z2" s="1005"/>
    </row>
    <row r="3" spans="2:55" ht="4.5" customHeight="1" thickBot="1"/>
    <row r="4" spans="2:55" ht="19.5" thickBot="1">
      <c r="B4" s="1006" t="s">
        <v>449</v>
      </c>
      <c r="C4" s="1007"/>
      <c r="D4" s="1007"/>
      <c r="E4" s="1007"/>
      <c r="F4" s="1007"/>
      <c r="G4" s="1007"/>
      <c r="H4" s="1007"/>
      <c r="I4" s="1007"/>
      <c r="J4" s="1007"/>
      <c r="K4" s="1007"/>
      <c r="L4" s="1007"/>
      <c r="M4" s="1007"/>
      <c r="N4" s="1007"/>
      <c r="O4" s="1007"/>
      <c r="P4" s="1007"/>
      <c r="Q4" s="1007"/>
      <c r="R4" s="1007"/>
      <c r="S4" s="1007"/>
      <c r="T4" s="1007"/>
      <c r="U4" s="1007"/>
      <c r="V4" s="1007"/>
      <c r="W4" s="1007"/>
      <c r="X4" s="1007"/>
      <c r="Y4" s="1007"/>
      <c r="Z4" s="1007"/>
      <c r="AA4" s="1007"/>
      <c r="AB4" s="1007"/>
      <c r="AC4" s="1007"/>
      <c r="AD4" s="1007"/>
      <c r="AE4" s="1007"/>
      <c r="AF4" s="1007"/>
      <c r="AG4" s="1007"/>
      <c r="AH4" s="1007"/>
      <c r="AI4" s="1007"/>
      <c r="AJ4" s="1007"/>
      <c r="AK4" s="1007"/>
      <c r="AL4" s="1007"/>
      <c r="AM4" s="1007"/>
      <c r="AN4" s="1007"/>
      <c r="AO4" s="1007"/>
      <c r="AP4" s="1007"/>
      <c r="AQ4" s="1007"/>
      <c r="AR4" s="1007"/>
      <c r="AS4" s="1007"/>
      <c r="AT4" s="1007"/>
      <c r="AU4" s="1008"/>
    </row>
    <row r="5" spans="2:55" ht="6.75" customHeight="1" thickBot="1"/>
    <row r="6" spans="2:55" ht="15.75" thickBot="1">
      <c r="B6" s="442" t="s">
        <v>149</v>
      </c>
      <c r="C6" s="1009" t="s">
        <v>272</v>
      </c>
      <c r="D6" s="1009"/>
      <c r="E6" s="1009"/>
      <c r="F6" s="441" t="s">
        <v>62</v>
      </c>
      <c r="G6" s="443" t="s">
        <v>63</v>
      </c>
      <c r="H6" s="441" t="s">
        <v>116</v>
      </c>
      <c r="I6" s="443" t="s">
        <v>46</v>
      </c>
      <c r="J6" s="487"/>
      <c r="K6" s="1011" t="s">
        <v>164</v>
      </c>
      <c r="L6" s="1011"/>
      <c r="M6" s="491">
        <v>5</v>
      </c>
      <c r="N6" s="1010" t="str">
        <f xml:space="preserve"> CONCATENATE("Valores do padrão para largura de banda ", "( ", M6, " nm)")</f>
        <v>Valores do padrão para largura de banda ( 5 nm)</v>
      </c>
      <c r="O6" s="1010"/>
      <c r="P6" s="1010"/>
      <c r="Q6" s="1010"/>
      <c r="R6" s="488" t="str">
        <f>VLOOKUP($M$6,'Cadastro - Padrões Lambda'!$E$59:$P464,2,FALSE)</f>
        <v>--x--</v>
      </c>
      <c r="S6" s="488">
        <f>VLOOKUP($M$6,'Cadastro - Padrões Lambda'!$E$59:$P464,3,FALSE)</f>
        <v>278.64</v>
      </c>
      <c r="T6" s="488">
        <f>VLOOKUP($M$6,'Cadastro - Padrões Lambda'!$E$59:$P464,4,FALSE)</f>
        <v>288.01</v>
      </c>
      <c r="U6" s="488">
        <f>VLOOKUP($M$6,'Cadastro - Padrões Lambda'!$E$59:$P464,5,FALSE)</f>
        <v>334.23</v>
      </c>
      <c r="V6" s="488">
        <f>VLOOKUP($M$6,'Cadastro - Padrões Lambda'!$E$59:$P464,6,FALSE)</f>
        <v>361.01</v>
      </c>
      <c r="W6" s="488">
        <f>VLOOKUP($M$6,'Cadastro - Padrões Lambda'!$E$59:$P464,7,FALSE)</f>
        <v>0</v>
      </c>
      <c r="X6" s="488">
        <f>VLOOKUP($M$6,'Cadastro - Padrões Lambda'!$E$59:$P464,8,FALSE)</f>
        <v>418.15</v>
      </c>
      <c r="Y6" s="488">
        <f>VLOOKUP($M$6,'Cadastro - Padrões Lambda'!$E$59:$P464,9,FALSE)</f>
        <v>446.71</v>
      </c>
      <c r="Z6" s="488" t="str">
        <f>VLOOKUP($M$6,'Cadastro - Padrões Lambda'!$E$59:$P464,10,FALSE)</f>
        <v>--x--</v>
      </c>
      <c r="AA6" s="488">
        <f>VLOOKUP($M$6,'Cadastro - Padrões Lambda'!$E$59:$P464,11,FALSE)</f>
        <v>459.11</v>
      </c>
      <c r="AB6" s="488">
        <f>VLOOKUP($M$6,'Cadastro - Padrões Lambda'!$E$59:$P464,12,FALSE)</f>
        <v>536.64</v>
      </c>
      <c r="AC6" s="487"/>
      <c r="AD6" s="487"/>
      <c r="AE6" s="487"/>
      <c r="AF6" s="271"/>
      <c r="AG6" s="271"/>
      <c r="AH6" s="271"/>
      <c r="AI6" s="271"/>
      <c r="AJ6" s="271"/>
      <c r="AK6" s="1010"/>
      <c r="AL6" s="1010"/>
      <c r="AM6" s="487"/>
      <c r="AN6" s="487"/>
      <c r="AO6" s="487"/>
      <c r="AP6" s="255"/>
      <c r="AQ6" s="255"/>
      <c r="AR6" s="255"/>
      <c r="AS6" s="255"/>
      <c r="AT6" s="255"/>
      <c r="AU6" s="723"/>
    </row>
    <row r="7" spans="2:55" ht="4.5" customHeight="1" thickBot="1">
      <c r="B7" s="489"/>
      <c r="C7" s="489"/>
      <c r="D7" s="490"/>
      <c r="E7" s="490"/>
      <c r="F7" s="489"/>
      <c r="G7" s="490"/>
      <c r="H7" s="489"/>
      <c r="I7" s="490"/>
      <c r="J7" s="490"/>
      <c r="K7" s="490"/>
      <c r="L7" s="490"/>
      <c r="M7" s="490"/>
      <c r="N7" s="490"/>
      <c r="O7" s="490"/>
      <c r="P7" s="490"/>
      <c r="Q7" s="490"/>
      <c r="R7" s="489"/>
      <c r="S7" s="489"/>
      <c r="T7" s="489"/>
      <c r="U7" s="486"/>
      <c r="V7" s="486"/>
      <c r="W7" s="486"/>
      <c r="X7" s="189"/>
      <c r="Y7" s="189"/>
    </row>
    <row r="8" spans="2:55" ht="15.75" customHeight="1" thickBot="1">
      <c r="B8" s="989" t="s">
        <v>285</v>
      </c>
      <c r="C8" s="990"/>
      <c r="D8" s="990"/>
      <c r="E8" s="990"/>
      <c r="F8" s="990"/>
      <c r="G8" s="990"/>
      <c r="H8" s="990"/>
      <c r="I8" s="990"/>
      <c r="J8" s="990"/>
      <c r="K8" s="990"/>
      <c r="L8" s="990"/>
      <c r="M8" s="990"/>
      <c r="N8" s="990"/>
      <c r="O8" s="990"/>
      <c r="P8" s="990"/>
      <c r="Q8" s="990"/>
      <c r="R8" s="990"/>
      <c r="S8" s="990"/>
      <c r="T8" s="990"/>
      <c r="U8" s="990"/>
      <c r="V8" s="990"/>
      <c r="W8" s="990"/>
      <c r="X8" s="990"/>
      <c r="Y8" s="990"/>
      <c r="Z8" s="990"/>
      <c r="AA8" s="990"/>
      <c r="AB8" s="990"/>
      <c r="AC8" s="990"/>
      <c r="AD8" s="990"/>
      <c r="AE8" s="990"/>
      <c r="AF8" s="990"/>
      <c r="AG8" s="990"/>
      <c r="AH8" s="990"/>
      <c r="AI8" s="990"/>
      <c r="AJ8" s="990"/>
      <c r="AK8" s="990"/>
      <c r="AL8" s="990"/>
      <c r="AM8" s="990"/>
      <c r="AN8" s="990"/>
      <c r="AO8" s="990"/>
      <c r="AP8" s="990"/>
      <c r="AQ8" s="990"/>
      <c r="AR8" s="990"/>
      <c r="AS8" s="990"/>
      <c r="AT8" s="990"/>
      <c r="AU8" s="991"/>
      <c r="BC8" t="s">
        <v>305</v>
      </c>
    </row>
    <row r="9" spans="2:55" ht="15.75" customHeight="1" thickBot="1">
      <c r="B9" s="433"/>
      <c r="C9" s="431"/>
      <c r="D9" s="431"/>
      <c r="E9" s="431"/>
      <c r="F9" s="431"/>
      <c r="G9" s="461" t="s">
        <v>274</v>
      </c>
      <c r="H9" s="461" t="s">
        <v>284</v>
      </c>
      <c r="I9" s="461" t="s">
        <v>275</v>
      </c>
      <c r="J9" s="461" t="s">
        <v>276</v>
      </c>
      <c r="K9" s="461" t="s">
        <v>277</v>
      </c>
      <c r="L9" s="461" t="s">
        <v>278</v>
      </c>
      <c r="M9" s="461" t="s">
        <v>279</v>
      </c>
      <c r="N9" s="461" t="s">
        <v>280</v>
      </c>
      <c r="O9" s="461" t="s">
        <v>281</v>
      </c>
      <c r="P9" s="461" t="s">
        <v>282</v>
      </c>
      <c r="Q9" s="461" t="s">
        <v>283</v>
      </c>
      <c r="R9" s="431"/>
      <c r="S9" s="431"/>
      <c r="T9" s="431"/>
      <c r="U9" s="432"/>
      <c r="V9" s="995" t="s">
        <v>118</v>
      </c>
      <c r="W9" s="996"/>
      <c r="X9" s="996"/>
      <c r="Y9" s="997"/>
      <c r="Z9" s="976" t="s">
        <v>119</v>
      </c>
      <c r="AA9" s="977"/>
      <c r="AB9" s="977"/>
      <c r="AC9" s="977"/>
      <c r="AD9" s="977"/>
      <c r="AE9" s="977"/>
      <c r="AF9" s="977"/>
      <c r="AG9" s="977"/>
      <c r="AH9" s="977"/>
      <c r="AI9" s="977"/>
      <c r="AJ9" s="978"/>
      <c r="AK9" s="976" t="s">
        <v>120</v>
      </c>
      <c r="AL9" s="977"/>
      <c r="AM9" s="977"/>
      <c r="AN9" s="977"/>
      <c r="AO9" s="977"/>
      <c r="AP9" s="977"/>
      <c r="AQ9" s="977"/>
      <c r="AR9" s="977"/>
      <c r="AS9" s="977"/>
      <c r="AT9" s="977"/>
      <c r="AU9" s="978"/>
      <c r="BC9" s="654">
        <v>0.1</v>
      </c>
    </row>
    <row r="10" spans="2:55" ht="19.5" customHeight="1" thickBot="1">
      <c r="B10" s="190" t="s">
        <v>122</v>
      </c>
      <c r="C10" s="998" t="s">
        <v>123</v>
      </c>
      <c r="D10" s="999"/>
      <c r="E10" s="999"/>
      <c r="F10" s="1000"/>
      <c r="G10" s="459" t="str">
        <f t="shared" ref="G10:Q10" si="0">R6</f>
        <v>--x--</v>
      </c>
      <c r="H10" s="459">
        <f t="shared" si="0"/>
        <v>278.64</v>
      </c>
      <c r="I10" s="459">
        <f t="shared" si="0"/>
        <v>288.01</v>
      </c>
      <c r="J10" s="459">
        <f t="shared" si="0"/>
        <v>334.23</v>
      </c>
      <c r="K10" s="459">
        <f t="shared" si="0"/>
        <v>361.01</v>
      </c>
      <c r="L10" s="459">
        <f t="shared" si="0"/>
        <v>0</v>
      </c>
      <c r="M10" s="459">
        <f t="shared" si="0"/>
        <v>418.15</v>
      </c>
      <c r="N10" s="459">
        <f t="shared" si="0"/>
        <v>446.71</v>
      </c>
      <c r="O10" s="459" t="str">
        <f t="shared" si="0"/>
        <v>--x--</v>
      </c>
      <c r="P10" s="459">
        <f t="shared" si="0"/>
        <v>459.11</v>
      </c>
      <c r="Q10" s="459">
        <f t="shared" si="0"/>
        <v>536.64</v>
      </c>
      <c r="R10" s="432" t="s">
        <v>124</v>
      </c>
      <c r="S10" s="192" t="s">
        <v>125</v>
      </c>
      <c r="T10" s="193" t="s">
        <v>126</v>
      </c>
      <c r="U10" s="192" t="s">
        <v>127</v>
      </c>
      <c r="V10" s="194" t="s">
        <v>128</v>
      </c>
      <c r="W10" s="1001" t="s">
        <v>124</v>
      </c>
      <c r="X10" s="1002"/>
      <c r="Y10" s="1003"/>
      <c r="Z10" s="257" t="s">
        <v>286</v>
      </c>
      <c r="AA10" s="258" t="s">
        <v>287</v>
      </c>
      <c r="AB10" s="258" t="s">
        <v>288</v>
      </c>
      <c r="AC10" s="258" t="s">
        <v>289</v>
      </c>
      <c r="AD10" s="258" t="s">
        <v>290</v>
      </c>
      <c r="AE10" s="258" t="s">
        <v>291</v>
      </c>
      <c r="AF10" s="258" t="s">
        <v>292</v>
      </c>
      <c r="AG10" s="258" t="s">
        <v>293</v>
      </c>
      <c r="AH10" s="258" t="s">
        <v>294</v>
      </c>
      <c r="AI10" s="258" t="s">
        <v>295</v>
      </c>
      <c r="AJ10" s="258" t="s">
        <v>296</v>
      </c>
      <c r="AK10" s="257" t="s">
        <v>286</v>
      </c>
      <c r="AL10" s="258" t="s">
        <v>287</v>
      </c>
      <c r="AM10" s="258" t="s">
        <v>288</v>
      </c>
      <c r="AN10" s="258" t="s">
        <v>289</v>
      </c>
      <c r="AO10" s="258" t="s">
        <v>290</v>
      </c>
      <c r="AP10" s="258" t="s">
        <v>291</v>
      </c>
      <c r="AQ10" s="258" t="s">
        <v>292</v>
      </c>
      <c r="AR10" s="258" t="s">
        <v>293</v>
      </c>
      <c r="AS10" s="258" t="s">
        <v>294</v>
      </c>
      <c r="AT10" s="258" t="s">
        <v>295</v>
      </c>
      <c r="AU10" s="259" t="s">
        <v>296</v>
      </c>
      <c r="BC10" s="654">
        <v>0.25</v>
      </c>
    </row>
    <row r="11" spans="2:55">
      <c r="B11" s="205" t="s">
        <v>139</v>
      </c>
      <c r="C11" s="982" t="s">
        <v>273</v>
      </c>
      <c r="D11" s="992"/>
      <c r="E11" s="992"/>
      <c r="F11" s="984"/>
      <c r="G11" s="460">
        <f>'Cadastro - Padrões Lambda'!$F$70</f>
        <v>0.13</v>
      </c>
      <c r="H11" s="460">
        <f>'Cadastro - Padrões Lambda'!$F$70</f>
        <v>0.13</v>
      </c>
      <c r="I11" s="460">
        <f>'Cadastro - Padrões Lambda'!$F$70</f>
        <v>0.13</v>
      </c>
      <c r="J11" s="460">
        <f>'Cadastro - Padrões Lambda'!$F$70</f>
        <v>0.13</v>
      </c>
      <c r="K11" s="460">
        <f>'Cadastro - Padrões Lambda'!$F$70</f>
        <v>0.13</v>
      </c>
      <c r="L11" s="460">
        <f>'Cadastro - Padrões Lambda'!$F$70</f>
        <v>0.13</v>
      </c>
      <c r="M11" s="460">
        <f>'Cadastro - Padrões Lambda'!$F$70</f>
        <v>0.13</v>
      </c>
      <c r="N11" s="460">
        <f>'Cadastro - Padrões Lambda'!$F$70</f>
        <v>0.13</v>
      </c>
      <c r="O11" s="460">
        <f>'Cadastro - Padrões Lambda'!$F$70</f>
        <v>0.13</v>
      </c>
      <c r="P11" s="460">
        <f>'Cadastro - Padrões Lambda'!$F$70</f>
        <v>0.13</v>
      </c>
      <c r="Q11" s="460">
        <f>'Cadastro - Padrões Lambda'!$F$70</f>
        <v>0.13</v>
      </c>
      <c r="R11" s="197" t="s">
        <v>53</v>
      </c>
      <c r="S11" s="196" t="s">
        <v>136</v>
      </c>
      <c r="T11" s="196" t="s">
        <v>132</v>
      </c>
      <c r="U11" s="198">
        <v>2</v>
      </c>
      <c r="V11" s="196">
        <v>1</v>
      </c>
      <c r="W11" s="196" t="s">
        <v>130</v>
      </c>
      <c r="X11" s="196" t="s">
        <v>133</v>
      </c>
      <c r="Y11" s="256" t="s">
        <v>130</v>
      </c>
      <c r="Z11" s="462">
        <f>IF(ISNUMBER(G11),G11/$U$11,"")</f>
        <v>6.5000000000000002E-2</v>
      </c>
      <c r="AA11" s="199">
        <f>IF(ISNUMBER(H11),H11/$U$11,"")</f>
        <v>6.5000000000000002E-2</v>
      </c>
      <c r="AB11" s="199">
        <f>IF(ISNUMBER(I11),I11/$U$11,"")</f>
        <v>6.5000000000000002E-2</v>
      </c>
      <c r="AC11" s="199">
        <f>IF(ISNUMBER(J11),J11/$U$11,"")</f>
        <v>6.5000000000000002E-2</v>
      </c>
      <c r="AD11" s="199">
        <f>IF(ISNUMBER(K11),K11/$U$11,"")</f>
        <v>6.5000000000000002E-2</v>
      </c>
      <c r="AE11" s="199">
        <f t="shared" ref="AE11:AJ12" si="1">IF(ISNUMBER(L11),L11/$U$11,"")</f>
        <v>6.5000000000000002E-2</v>
      </c>
      <c r="AF11" s="199">
        <f t="shared" si="1"/>
        <v>6.5000000000000002E-2</v>
      </c>
      <c r="AG11" s="199">
        <f t="shared" si="1"/>
        <v>6.5000000000000002E-2</v>
      </c>
      <c r="AH11" s="199">
        <f t="shared" si="1"/>
        <v>6.5000000000000002E-2</v>
      </c>
      <c r="AI11" s="199">
        <f t="shared" si="1"/>
        <v>6.5000000000000002E-2</v>
      </c>
      <c r="AJ11" s="463">
        <f t="shared" si="1"/>
        <v>6.5000000000000002E-2</v>
      </c>
      <c r="AK11" s="686" t="s">
        <v>138</v>
      </c>
      <c r="AL11" s="468" t="s">
        <v>138</v>
      </c>
      <c r="AM11" s="468" t="s">
        <v>138</v>
      </c>
      <c r="AN11" s="468" t="s">
        <v>138</v>
      </c>
      <c r="AO11" s="468" t="s">
        <v>138</v>
      </c>
      <c r="AP11" s="468" t="s">
        <v>138</v>
      </c>
      <c r="AQ11" s="468" t="s">
        <v>138</v>
      </c>
      <c r="AR11" s="468" t="s">
        <v>138</v>
      </c>
      <c r="AS11" s="468" t="s">
        <v>138</v>
      </c>
      <c r="AT11" s="468" t="s">
        <v>138</v>
      </c>
      <c r="AU11" s="687" t="s">
        <v>138</v>
      </c>
      <c r="BC11" s="654">
        <v>0.5</v>
      </c>
    </row>
    <row r="12" spans="2:55">
      <c r="B12" s="205" t="s">
        <v>302</v>
      </c>
      <c r="C12" s="982" t="s">
        <v>464</v>
      </c>
      <c r="D12" s="983"/>
      <c r="E12" s="983"/>
      <c r="F12" s="984"/>
      <c r="G12" s="196">
        <f xml:space="preserve"> 'Registro Tratado'!$Z366</f>
        <v>6.9444439314884374E-3</v>
      </c>
      <c r="H12" s="196">
        <f xml:space="preserve"> 'Registro Tratado'!$Z367</f>
        <v>5.1020449682042252E-3</v>
      </c>
      <c r="I12" s="196">
        <f xml:space="preserve"> 'Registro Tratado'!$Z368</f>
        <v>5.1020412632172786E-3</v>
      </c>
      <c r="J12" s="196">
        <f xml:space="preserve"> 'Registro Tratado'!$Z369</f>
        <v>6.9444444383187105E-3</v>
      </c>
      <c r="K12" s="196">
        <f xml:space="preserve"> 'Registro Tratado'!$Z370</f>
        <v>5.1020409648541041E-3</v>
      </c>
      <c r="L12" s="196">
        <f xml:space="preserve"> 'Registro Tratado'!$Z371</f>
        <v>5.1020407161999851E-3</v>
      </c>
      <c r="M12" s="196">
        <f xml:space="preserve"> 'Registro Tratado'!$Z372</f>
        <v>5.1020409490361201E-3</v>
      </c>
      <c r="N12" s="196">
        <f xml:space="preserve"> 'Registro Tratado'!$Z373</f>
        <v>6.94444431480993E-3</v>
      </c>
      <c r="O12" s="196">
        <f xml:space="preserve"> 'Registro Tratado'!$Z374</f>
        <v>6.9444444433882334E-3</v>
      </c>
      <c r="P12" s="196">
        <f xml:space="preserve"> 'Registro Tratado'!$Z375</f>
        <v>5.0994528312919485E-3</v>
      </c>
      <c r="Q12" s="196">
        <f xml:space="preserve"> 'Registro Tratado'!$Z376</f>
        <v>5.1020425390476947E-3</v>
      </c>
      <c r="R12" s="198" t="s">
        <v>53</v>
      </c>
      <c r="S12" s="196" t="s">
        <v>136</v>
      </c>
      <c r="T12" s="196" t="s">
        <v>132</v>
      </c>
      <c r="U12" s="198">
        <v>2</v>
      </c>
      <c r="V12" s="196">
        <v>1</v>
      </c>
      <c r="W12" s="196" t="s">
        <v>130</v>
      </c>
      <c r="X12" s="196" t="s">
        <v>133</v>
      </c>
      <c r="Y12" s="256" t="s">
        <v>130</v>
      </c>
      <c r="Z12" s="464">
        <f>IF(ISNUMBER(G12),G12/$U$11,"")</f>
        <v>3.4722219657442187E-3</v>
      </c>
      <c r="AA12" s="256">
        <f t="shared" ref="AA12:AD12" si="2">IF(ISNUMBER(H12),H12/$U$11,"")</f>
        <v>2.5510224841021126E-3</v>
      </c>
      <c r="AB12" s="256">
        <f t="shared" si="2"/>
        <v>2.5510206316086393E-3</v>
      </c>
      <c r="AC12" s="256">
        <f t="shared" si="2"/>
        <v>3.4722222191593552E-3</v>
      </c>
      <c r="AD12" s="256">
        <f t="shared" si="2"/>
        <v>2.5510204824270521E-3</v>
      </c>
      <c r="AE12" s="256">
        <f t="shared" si="1"/>
        <v>2.5510203580999926E-3</v>
      </c>
      <c r="AF12" s="256">
        <f t="shared" si="1"/>
        <v>2.55102047451806E-3</v>
      </c>
      <c r="AG12" s="256">
        <f t="shared" si="1"/>
        <v>3.472222157404965E-3</v>
      </c>
      <c r="AH12" s="256">
        <f t="shared" si="1"/>
        <v>3.4722222216941167E-3</v>
      </c>
      <c r="AI12" s="256">
        <f t="shared" si="1"/>
        <v>2.5497264156459742E-3</v>
      </c>
      <c r="AJ12" s="465">
        <f t="shared" si="1"/>
        <v>2.5510212695238474E-3</v>
      </c>
      <c r="AK12" s="688">
        <f>'Registro Tratado'!$AB366</f>
        <v>4</v>
      </c>
      <c r="AL12" s="269">
        <f>'Registro Tratado'!$AB367</f>
        <v>5</v>
      </c>
      <c r="AM12" s="269">
        <f>'Registro Tratado'!$AB368</f>
        <v>5</v>
      </c>
      <c r="AN12" s="269">
        <f>'Registro Tratado'!$AB369</f>
        <v>4</v>
      </c>
      <c r="AO12" s="269">
        <f>'Registro Tratado'!$AB370</f>
        <v>5</v>
      </c>
      <c r="AP12" s="269">
        <f>'Registro Tratado'!$AB371</f>
        <v>5</v>
      </c>
      <c r="AQ12" s="269">
        <f>'Registro Tratado'!$AB372</f>
        <v>5</v>
      </c>
      <c r="AR12" s="269">
        <f>'Registro Tratado'!$AB373</f>
        <v>4</v>
      </c>
      <c r="AS12" s="269">
        <f>'Registro Tratado'!$AB374</f>
        <v>4</v>
      </c>
      <c r="AT12" s="269">
        <f>'Registro Tratado'!$AB375</f>
        <v>5</v>
      </c>
      <c r="AU12" s="689">
        <f>'Registro Tratado'!$AB376</f>
        <v>5</v>
      </c>
      <c r="BC12" s="654">
        <v>1</v>
      </c>
    </row>
    <row r="13" spans="2:55">
      <c r="B13" s="267" t="s">
        <v>304</v>
      </c>
      <c r="C13" s="982" t="s">
        <v>175</v>
      </c>
      <c r="D13" s="983"/>
      <c r="E13" s="983"/>
      <c r="F13" s="984"/>
      <c r="G13" s="196">
        <f>IF(ISNUMBER('Registro Tratado'!X366),SQRT(DEVSQ('Registro Tratado'!V340,'Registro Tratado'!V350)/('Registro Tratado'!AC335-1))/SQRT('Registro Tratado'!AC335),"")</f>
        <v>0.1114121458785604</v>
      </c>
      <c r="H13" s="196">
        <f>IF(ISNUMBER('Registro Tratado'!X367),SQRT(DEVSQ('Registro Tratado'!V315,'Registro Tratado'!V325)/('Registro Tratado'!AC310-1))/SQRT('Registro Tratado'!AC310),"")</f>
        <v>6.2236033500084886E-6</v>
      </c>
      <c r="I13" s="196">
        <f>IF(ISNUMBER('Registro Tratado'!X368),SQRT(DEVSQ('Registro Tratado'!V290,'Registro Tratado'!V300)/('Registro Tratado'!AC285-1))/SQRT('Registro Tratado'!AC285),"")</f>
        <v>8.1878522451006575E-7</v>
      </c>
      <c r="J13" s="196">
        <f>IF(ISNUMBER('Registro Tratado'!X369),SQRT(DEVSQ('Registro Tratado'!V265,'Registro Tratado'!V275)/('Registro Tratado'!AC260-1))/SQRT('Registro Tratado'!AC260),"")</f>
        <v>0.13316223192390453</v>
      </c>
      <c r="K13" s="196">
        <f>IF(ISNUMBER('Registro Tratado'!X370),SQRT(DEVSQ('Registro Tratado'!V240,'Registro Tratado'!V250)/('Registro Tratado'!AC235-1))/SQRT('Registro Tratado'!AC235),"")</f>
        <v>0.13911740335149148</v>
      </c>
      <c r="L13" s="196">
        <f>IF(ISNUMBER('Registro Tratado'!X371),SQRT(DEVSQ('Registro Tratado'!V190,'Registro Tratado'!V200)/('Registro Tratado'!AC185-1))/SQRT('Registro Tratado'!AC185),"")</f>
        <v>1.3416127217169558E-5</v>
      </c>
      <c r="M13" s="196">
        <f>IF(ISNUMBER('Registro Tratado'!X372),SQRT(DEVSQ('Registro Tratado'!V165,'Registro Tratado'!V175)/('Registro Tratado'!AC160-1))/SQRT('Registro Tratado'!AC160),"")</f>
        <v>0</v>
      </c>
      <c r="N13" s="196">
        <f>IF(ISNUMBER('Registro Tratado'!X373),SQRT(DEVSQ('Registro Tratado'!V140,'Registro Tratado'!V150)/('Registro Tratado'!AC135-1))/SQRT('Registro Tratado'!AC135),"")</f>
        <v>9.7025244372162021E-7</v>
      </c>
      <c r="O13" s="196">
        <f>IF(ISNUMBER('Registro Tratado'!X374),SQRT(DEVSQ('Registro Tratado'!V115,'Registro Tratado'!V125)/('Registro Tratado'!AC110-1))/SQRT('Registro Tratado'!AC110),"")</f>
        <v>0.17768396325655542</v>
      </c>
      <c r="P13" s="196">
        <f>IF(ISNUMBER('Registro Tratado'!X375),SQRT(DEVSQ('Registro Tratado'!V90,'Registro Tratado'!V100)/('Registro Tratado'!AC85-1))/SQRT('Registro Tratado'!AC85),"")</f>
        <v>0.11742951928624734</v>
      </c>
      <c r="Q13" s="196">
        <f>IF(ISNUMBER('Registro Tratado'!X376),SQRT(DEVSQ('Registro Tratado'!V65,'Registro Tratado'!V75)/('Registro Tratado'!AC60-1))/SQRT('Registro Tratado'!AC60),"")</f>
        <v>2.4217846104477303E-2</v>
      </c>
      <c r="R13" s="198" t="s">
        <v>53</v>
      </c>
      <c r="S13" s="196" t="s">
        <v>131</v>
      </c>
      <c r="T13" s="196" t="s">
        <v>132</v>
      </c>
      <c r="U13" s="198">
        <v>1</v>
      </c>
      <c r="V13" s="196">
        <v>1</v>
      </c>
      <c r="W13" s="256" t="s">
        <v>130</v>
      </c>
      <c r="X13" s="256" t="s">
        <v>133</v>
      </c>
      <c r="Y13" s="256" t="s">
        <v>130</v>
      </c>
      <c r="Z13" s="464">
        <f>IF(ISNUMBER(G13),G13/$U$13,"")</f>
        <v>0.1114121458785604</v>
      </c>
      <c r="AA13" s="256">
        <f>IF(ISNUMBER(H13),H13/$U$13,"")</f>
        <v>6.2236033500084886E-6</v>
      </c>
      <c r="AB13" s="256">
        <f>IF(ISNUMBER(I13),I13/$U$13,"")</f>
        <v>8.1878522451006575E-7</v>
      </c>
      <c r="AC13" s="256">
        <f>IF(ISNUMBER(J13),J13/$U$13,"")</f>
        <v>0.13316223192390453</v>
      </c>
      <c r="AD13" s="256">
        <f>IF(ISNUMBER(K13),K13/$U$13,"")</f>
        <v>0.13911740335149148</v>
      </c>
      <c r="AE13" s="256">
        <f t="shared" ref="AE13:AJ13" si="3">IF(ISNUMBER(L13),L13/$U$13,"")</f>
        <v>1.3416127217169558E-5</v>
      </c>
      <c r="AF13" s="256">
        <f t="shared" si="3"/>
        <v>0</v>
      </c>
      <c r="AG13" s="256">
        <f t="shared" si="3"/>
        <v>9.7025244372162021E-7</v>
      </c>
      <c r="AH13" s="256">
        <f t="shared" si="3"/>
        <v>0.17768396325655542</v>
      </c>
      <c r="AI13" s="256">
        <f t="shared" si="3"/>
        <v>0.11742951928624734</v>
      </c>
      <c r="AJ13" s="465">
        <f t="shared" si="3"/>
        <v>2.4217846104477303E-2</v>
      </c>
      <c r="AK13" s="690">
        <f xml:space="preserve"> 'Registro Tratado'!AC335-1</f>
        <v>1</v>
      </c>
      <c r="AL13" s="691">
        <f xml:space="preserve"> 'Registro Tratado'!AC310-1</f>
        <v>1</v>
      </c>
      <c r="AM13" s="691">
        <f xml:space="preserve"> 'Registro Tratado'!AC285-1</f>
        <v>1</v>
      </c>
      <c r="AN13" s="691">
        <f xml:space="preserve"> 'Registro Tratado'!AC260-1</f>
        <v>1</v>
      </c>
      <c r="AO13" s="691">
        <f xml:space="preserve"> 'Registro Tratado'!AC235-1</f>
        <v>1</v>
      </c>
      <c r="AP13" s="691">
        <f xml:space="preserve"> 'Registro Tratado'!AC185-1</f>
        <v>1</v>
      </c>
      <c r="AQ13" s="691">
        <f xml:space="preserve"> 'Registro Tratado'!AC160-1</f>
        <v>1</v>
      </c>
      <c r="AR13" s="691">
        <f xml:space="preserve"> 'Registro Tratado'!AC135-1</f>
        <v>1</v>
      </c>
      <c r="AS13" s="691">
        <f xml:space="preserve"> 'Registro Tratado'!AC110-1</f>
        <v>1</v>
      </c>
      <c r="AT13" s="691">
        <f xml:space="preserve"> 'Registro Tratado'!AC85-1</f>
        <v>1</v>
      </c>
      <c r="AU13" s="692">
        <f xml:space="preserve"> 'Registro Tratado'!AC60-1</f>
        <v>1</v>
      </c>
      <c r="BC13" s="654">
        <v>1.5</v>
      </c>
    </row>
    <row r="14" spans="2:55" ht="15.75" thickBot="1">
      <c r="B14" s="211" t="s">
        <v>303</v>
      </c>
      <c r="C14" s="973" t="s">
        <v>135</v>
      </c>
      <c r="D14" s="974"/>
      <c r="E14" s="974"/>
      <c r="F14" s="975"/>
      <c r="G14" s="213">
        <f>'Registro Tratado'!$K$45/2</f>
        <v>0.25</v>
      </c>
      <c r="H14" s="213">
        <f>'Registro Tratado'!$K$45/2</f>
        <v>0.25</v>
      </c>
      <c r="I14" s="213">
        <f>'Registro Tratado'!$K$45/2</f>
        <v>0.25</v>
      </c>
      <c r="J14" s="213">
        <f>'Registro Tratado'!$K$45/2</f>
        <v>0.25</v>
      </c>
      <c r="K14" s="213">
        <f>'Registro Tratado'!$K$45/2</f>
        <v>0.25</v>
      </c>
      <c r="L14" s="213">
        <f>'Registro Tratado'!$K$45/2</f>
        <v>0.25</v>
      </c>
      <c r="M14" s="213">
        <f>'Registro Tratado'!$K$45/2</f>
        <v>0.25</v>
      </c>
      <c r="N14" s="213">
        <f>'Registro Tratado'!$K$45/2</f>
        <v>0.25</v>
      </c>
      <c r="O14" s="213">
        <f>'Registro Tratado'!$K$45/2</f>
        <v>0.25</v>
      </c>
      <c r="P14" s="213">
        <f>'Registro Tratado'!$K$45/2</f>
        <v>0.25</v>
      </c>
      <c r="Q14" s="213">
        <f>'Registro Tratado'!$K$45/2</f>
        <v>0.25</v>
      </c>
      <c r="R14" s="212" t="s">
        <v>53</v>
      </c>
      <c r="S14" s="213" t="s">
        <v>136</v>
      </c>
      <c r="T14" s="213" t="s">
        <v>137</v>
      </c>
      <c r="U14" s="212">
        <f>SQRT(12)</f>
        <v>3.4641016151377544</v>
      </c>
      <c r="V14" s="213">
        <v>1</v>
      </c>
      <c r="W14" s="213" t="s">
        <v>130</v>
      </c>
      <c r="X14" s="213" t="s">
        <v>133</v>
      </c>
      <c r="Y14" s="213" t="s">
        <v>130</v>
      </c>
      <c r="Z14" s="466">
        <f>IF(ISNUMBER(G14),G14/$U$14,"")</f>
        <v>7.216878364870323E-2</v>
      </c>
      <c r="AA14" s="213">
        <f>IF(ISNUMBER(H14),H14/$U$14,"")</f>
        <v>7.216878364870323E-2</v>
      </c>
      <c r="AB14" s="213">
        <f>IF(ISNUMBER(I14),I14/$U$14,"")</f>
        <v>7.216878364870323E-2</v>
      </c>
      <c r="AC14" s="213">
        <f>IF(ISNUMBER(J14),J14/$U$14,"")</f>
        <v>7.216878364870323E-2</v>
      </c>
      <c r="AD14" s="213">
        <f>IF(ISNUMBER(K14),K14/$U$14,"")</f>
        <v>7.216878364870323E-2</v>
      </c>
      <c r="AE14" s="213">
        <f t="shared" ref="AE14:AJ14" si="4">IF(ISNUMBER(L14),L14/$U$14,"")</f>
        <v>7.216878364870323E-2</v>
      </c>
      <c r="AF14" s="213">
        <f t="shared" si="4"/>
        <v>7.216878364870323E-2</v>
      </c>
      <c r="AG14" s="213">
        <f t="shared" si="4"/>
        <v>7.216878364870323E-2</v>
      </c>
      <c r="AH14" s="213">
        <f t="shared" si="4"/>
        <v>7.216878364870323E-2</v>
      </c>
      <c r="AI14" s="213">
        <f t="shared" si="4"/>
        <v>7.216878364870323E-2</v>
      </c>
      <c r="AJ14" s="467">
        <f t="shared" si="4"/>
        <v>7.216878364870323E-2</v>
      </c>
      <c r="AK14" s="693" t="s">
        <v>138</v>
      </c>
      <c r="AL14" s="469" t="s">
        <v>138</v>
      </c>
      <c r="AM14" s="469" t="s">
        <v>138</v>
      </c>
      <c r="AN14" s="469" t="s">
        <v>138</v>
      </c>
      <c r="AO14" s="469" t="s">
        <v>138</v>
      </c>
      <c r="AP14" s="469" t="s">
        <v>138</v>
      </c>
      <c r="AQ14" s="469" t="s">
        <v>138</v>
      </c>
      <c r="AR14" s="469" t="s">
        <v>138</v>
      </c>
      <c r="AS14" s="469" t="s">
        <v>138</v>
      </c>
      <c r="AT14" s="469" t="s">
        <v>138</v>
      </c>
      <c r="AU14" s="694" t="s">
        <v>138</v>
      </c>
      <c r="BC14" s="654">
        <v>2</v>
      </c>
    </row>
    <row r="15" spans="2:55" ht="15.75" customHeight="1" thickBot="1">
      <c r="B15" s="218"/>
      <c r="C15" s="219"/>
      <c r="D15" s="219"/>
      <c r="E15" s="219"/>
      <c r="F15" s="219"/>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976" t="s">
        <v>141</v>
      </c>
      <c r="AL15" s="977"/>
      <c r="AM15" s="977"/>
      <c r="AN15" s="977"/>
      <c r="AO15" s="977"/>
      <c r="AP15" s="977"/>
      <c r="AQ15" s="977"/>
      <c r="AR15" s="977"/>
      <c r="AS15" s="977"/>
      <c r="AT15" s="977"/>
      <c r="AU15" s="978"/>
      <c r="BC15" s="654">
        <v>3</v>
      </c>
    </row>
    <row r="16" spans="2:55" ht="15" customHeight="1" thickBot="1">
      <c r="B16" s="195" t="s">
        <v>142</v>
      </c>
      <c r="C16" s="993" t="s">
        <v>143</v>
      </c>
      <c r="D16" s="993"/>
      <c r="E16" s="993"/>
      <c r="F16" s="993"/>
      <c r="G16" s="993"/>
      <c r="H16" s="993"/>
      <c r="I16" s="993"/>
      <c r="J16" s="993"/>
      <c r="K16" s="993"/>
      <c r="L16" s="993"/>
      <c r="M16" s="993"/>
      <c r="N16" s="993"/>
      <c r="O16" s="993"/>
      <c r="P16" s="993"/>
      <c r="Q16" s="993"/>
      <c r="R16" s="993"/>
      <c r="S16" s="993"/>
      <c r="T16" s="993"/>
      <c r="U16" s="993"/>
      <c r="V16" s="993"/>
      <c r="W16" s="993"/>
      <c r="X16" s="994"/>
      <c r="Y16" s="220" t="s">
        <v>130</v>
      </c>
      <c r="Z16" s="221">
        <f xml:space="preserve"> IF(ISNUMBER(Z13),SQRT(SUMSQ($V11*Z11,$V12*Z12,$V13*Z13,$V14*Z14)),"")</f>
        <v>0.14784470199495942</v>
      </c>
      <c r="AA16" s="222">
        <f t="shared" ref="AA16:AJ16" si="5" xml:space="preserve"> IF(ISNUMBER(AA13),SQRT(SUMSQ($V11*AA11,$V12*AA12,$V13*AA13,$V14*AA14)),"")</f>
        <v>9.7158844619421897E-2</v>
      </c>
      <c r="AB16" s="222">
        <f t="shared" si="5"/>
        <v>9.7158844374903089E-2</v>
      </c>
      <c r="AC16" s="222">
        <f t="shared" si="5"/>
        <v>0.16485620907757251</v>
      </c>
      <c r="AD16" s="222">
        <f t="shared" si="5"/>
        <v>0.16968645483389849</v>
      </c>
      <c r="AE16" s="222">
        <f t="shared" si="5"/>
        <v>9.7158845290551105E-2</v>
      </c>
      <c r="AF16" s="222">
        <f t="shared" si="5"/>
        <v>9.7158844367328426E-2</v>
      </c>
      <c r="AG16" s="222">
        <f t="shared" si="5"/>
        <v>9.7187394558065493E-2</v>
      </c>
      <c r="AH16" s="222">
        <f t="shared" si="5"/>
        <v>0.20252649322754565</v>
      </c>
      <c r="AI16" s="222">
        <f t="shared" si="5"/>
        <v>0.15241235657887819</v>
      </c>
      <c r="AJ16" s="223">
        <f t="shared" si="5"/>
        <v>0.10013163891992902</v>
      </c>
      <c r="AK16" s="743">
        <f>IF(AND(AK12="",AK13="", TRUE), "",IF(Z13 = 0, "∞", IF((Z16^4)/((Z13^4)/AK13) &gt; 10000, "∞", (Z16^4)/((Z12^4)/AK12 + (Z13^4)/AK13))))</f>
        <v>3.1009360212518691</v>
      </c>
      <c r="AL16" s="744" t="str">
        <f>IF(AND(AL12="",AL13="",TRUE),"",IF(AA13 = 0, "∞", IF((AA16^4)/((AA13^4)/AL13) &gt; 10000, "∞", (AA16^4)/((AA12^4)/AL12 +  (AA13^4)/AL13))))</f>
        <v>∞</v>
      </c>
      <c r="AM16" s="744" t="str">
        <f>IF(AND(AM12="",AM13="", TRUE), "",IF(AB13=0,"∞",IF((AB16^4)/((AB13^4)/AM13)&gt;10000,"∞",(AB16^4)/((AB12^4)/AM12 +(AB13^4)/AM13))))</f>
        <v>∞</v>
      </c>
      <c r="AN16" s="744">
        <f>IF(AND(AN12="", AN13="",TRUE), "",IF(AC13 = 0, "∞", IF((AC16^4)/((AC13^4)/AN13) &gt; 10000, "∞", (AC16^4)/((AC12^4)/AN12 + (AC13^4)/AN13))))</f>
        <v>2.3490752136054582</v>
      </c>
      <c r="AO16" s="744">
        <f>IF(AND(AO12="", AO13="",TRUE), "",IF(AD13 = 0, "∞", IF((AD16^4)/((AD13^4)/AO13) &gt; 10000, "∞", (AD16^4)/((AD12^4)/AO12 + (AD13^4)/AO13))))</f>
        <v>2.2134149743640186</v>
      </c>
      <c r="AP16" s="744" t="str">
        <f>IF(AND(AP12="",AP13="",TRUE), "",IF(AE13 = 0, "∞", IF((AE16^4)/((AE13^4)/AP13) &gt; 10000, "∞", (AE16^4)/((AE12^4)/AP12 + (AE13^4)/AP13))))</f>
        <v>∞</v>
      </c>
      <c r="AQ16" s="744" t="str">
        <f>IF(AND(AQ12="",AQ13="", TRUE), "",IF(AF13 = 0, "∞", IF((AF16^4)/((AF13^4)/AQ13) &gt; 10000, "∞", (AF16^4)/((AF12^4)/AQ12 + (AF13^4)/AQ13))))</f>
        <v>∞</v>
      </c>
      <c r="AR16" s="744" t="str">
        <f>IF(AND(AR12="",AR13="", TRUE), "", IF(AG13 = 0, "∞", IF((AG16^4)/((AG13^4)/AR13) &gt; 10000, "∞", (AG16^4)/((AG12^4)/AR12 + (AG13^4)/AR13))))</f>
        <v>∞</v>
      </c>
      <c r="AS16" s="744">
        <f>IF(AND(AS12="",AS13="",TRUE), "",IF(AH13 = 0, "∞", IF((AH16^4)/((AH13^4)/AS13) &gt; 10000, "∞", (AH16^4)/((AH12^4)/AS12 + (AH13^4)/AS13))))</f>
        <v>1.6878522434109178</v>
      </c>
      <c r="AT16" s="744">
        <f>IF(AND(AT12="", AT13 = "",TRUE), "",IF(AI13 = 0, "∞", IF((AI16^4)/((AI13^4)/AT13) &gt; 10000, "∞", (AI16^4)/((AI12^4)/AT12 + (AI13^4)/AT13))))</f>
        <v>2.8377331989151453</v>
      </c>
      <c r="AU16" s="745">
        <f>IF(AND(AU12="",AU13="",TRUE), "",IF(AJ13 = 0, "∞", IF((AJ16^4)/((AJ13^4)/AU13) &gt; 10000, "∞", (AJ16^4)/((AJ12^4)/AU12 + (AJ13^4)/AU13))))</f>
        <v>292.23521249894446</v>
      </c>
      <c r="BC16" s="654">
        <v>4</v>
      </c>
    </row>
    <row r="17" spans="2:55" ht="15" customHeight="1">
      <c r="B17" s="205" t="s">
        <v>144</v>
      </c>
      <c r="C17" s="985" t="s">
        <v>145</v>
      </c>
      <c r="D17" s="985"/>
      <c r="E17" s="985"/>
      <c r="F17" s="985"/>
      <c r="G17" s="985"/>
      <c r="H17" s="985"/>
      <c r="I17" s="985"/>
      <c r="J17" s="985"/>
      <c r="K17" s="985"/>
      <c r="L17" s="985"/>
      <c r="M17" s="985"/>
      <c r="N17" s="985"/>
      <c r="O17" s="985"/>
      <c r="P17" s="985"/>
      <c r="Q17" s="985"/>
      <c r="R17" s="985"/>
      <c r="S17" s="985"/>
      <c r="T17" s="985"/>
      <c r="U17" s="985"/>
      <c r="V17" s="985"/>
      <c r="W17" s="985"/>
      <c r="X17" s="986"/>
      <c r="Y17" s="224" t="s">
        <v>130</v>
      </c>
      <c r="Z17" s="225">
        <f>IF(ISNUMBER(AK18),Z16*AK18,"")</f>
        <v>0.48889728417688011</v>
      </c>
      <c r="AA17" s="226">
        <f>IF(ISNUMBER(AL18),AA16*AL18,"")</f>
        <v>0.19431768923884379</v>
      </c>
      <c r="AB17" s="226">
        <f>IF(ISNUMBER(AM18),AB16*AM18,"")</f>
        <v>0.19431768874980618</v>
      </c>
      <c r="AC17" s="226">
        <f>IF(ISNUMBER(AN18),AC16*AN18,"")</f>
        <v>0.7462299985043217</v>
      </c>
      <c r="AD17" s="226">
        <f>IF(ISNUMBER(AO18),AD16*AO18,"")</f>
        <v>0.76809435110400193</v>
      </c>
      <c r="AE17" s="226">
        <f t="shared" ref="AE17:AJ17" si="6">IF(ISNUMBER(AP18),AE16*AP18,"")</f>
        <v>0.19431769058110221</v>
      </c>
      <c r="AF17" s="226">
        <f t="shared" si="6"/>
        <v>0.19431768873465685</v>
      </c>
      <c r="AG17" s="226">
        <f t="shared" si="6"/>
        <v>0.19437478911613099</v>
      </c>
      <c r="AH17" s="226">
        <f t="shared" si="6"/>
        <v>2.8288518786273258</v>
      </c>
      <c r="AI17" s="226">
        <f t="shared" si="6"/>
        <v>0.68990226851800873</v>
      </c>
      <c r="AJ17" s="226">
        <f t="shared" si="6"/>
        <v>0.20112442476122019</v>
      </c>
      <c r="AK17" s="976" t="s">
        <v>146</v>
      </c>
      <c r="AL17" s="977"/>
      <c r="AM17" s="977"/>
      <c r="AN17" s="977"/>
      <c r="AO17" s="977"/>
      <c r="AP17" s="977"/>
      <c r="AQ17" s="977"/>
      <c r="AR17" s="977"/>
      <c r="AS17" s="977"/>
      <c r="AT17" s="977"/>
      <c r="AU17" s="978"/>
      <c r="BC17" s="654">
        <v>5</v>
      </c>
    </row>
    <row r="18" spans="2:55" ht="15.75" thickBot="1">
      <c r="B18" s="211" t="s">
        <v>144</v>
      </c>
      <c r="C18" s="987" t="s">
        <v>147</v>
      </c>
      <c r="D18" s="987"/>
      <c r="E18" s="987"/>
      <c r="F18" s="987"/>
      <c r="G18" s="987"/>
      <c r="H18" s="987"/>
      <c r="I18" s="987"/>
      <c r="J18" s="987"/>
      <c r="K18" s="987"/>
      <c r="L18" s="987"/>
      <c r="M18" s="987"/>
      <c r="N18" s="987"/>
      <c r="O18" s="987"/>
      <c r="P18" s="987"/>
      <c r="Q18" s="987"/>
      <c r="R18" s="987"/>
      <c r="S18" s="987"/>
      <c r="T18" s="987"/>
      <c r="U18" s="987"/>
      <c r="V18" s="987"/>
      <c r="W18" s="987"/>
      <c r="X18" s="988"/>
      <c r="Y18" s="227" t="s">
        <v>130</v>
      </c>
      <c r="Z18" s="213">
        <f>IF(ISNUMBER(Z17), IF(((Z17-ROUNDDOWN(Z17,1))/Z17)*100 &gt; 5,ROUNDUP(Z17,1), ROUNDDOWN(Z17,1)),"")</f>
        <v>0.5</v>
      </c>
      <c r="AA18" s="213">
        <f>IF(ISNUMBER(AA17), IF(((AA17-ROUNDDOWN(AA17,1))/AA17)*100 &gt; 5,ROUNDUP(AA17,1), ROUNDDOWN(AA17,1)),"")</f>
        <v>0.2</v>
      </c>
      <c r="AB18" s="213">
        <f>IF(ISNUMBER(AB17), IF(((AB17-ROUNDDOWN(AB17,1))/AB17)*100 &gt; 5,ROUNDUP(AB17,1), ROUNDDOWN(AB17,1)),"")</f>
        <v>0.2</v>
      </c>
      <c r="AC18" s="213">
        <f>IF(ISNUMBER(AC17), IF(((AC17-ROUNDDOWN(AC17,1))/AC17)*100 &gt; 5,ROUNDUP(AC17,1), ROUNDDOWN(AC17,1)),"")</f>
        <v>0.79999999999999993</v>
      </c>
      <c r="AD18" s="213">
        <f>IF(ISNUMBER(AD17), IF(((AD17-ROUNDDOWN(AD17,1))/AD17)*100 &gt; 5,ROUNDUP(AD17,1), ROUNDDOWN(AD17,1)),"")</f>
        <v>0.79999999999999993</v>
      </c>
      <c r="AE18" s="213">
        <f t="shared" ref="AE18:AJ18" si="7">IF(ISNUMBER(AE17), IF(((AE17-ROUNDDOWN(AE17,1))/AE17)*100 &gt; 5,ROUNDUP(AE17,1), ROUNDDOWN(AE17,1)),"")</f>
        <v>0.2</v>
      </c>
      <c r="AF18" s="213">
        <f t="shared" si="7"/>
        <v>0.2</v>
      </c>
      <c r="AG18" s="213">
        <f t="shared" si="7"/>
        <v>0.2</v>
      </c>
      <c r="AH18" s="213">
        <f t="shared" si="7"/>
        <v>2.8</v>
      </c>
      <c r="AI18" s="213">
        <f t="shared" si="7"/>
        <v>0.7</v>
      </c>
      <c r="AJ18" s="213">
        <f t="shared" si="7"/>
        <v>0.2</v>
      </c>
      <c r="AK18" s="480">
        <f t="shared" ref="AK18:AT18" si="8">IF(AK16 ="∞", 2, IF(ISNUMBER(AK16), IF(AK16 &gt; 1000000, 2,_xlfn.T.INV.2T(1-0.9545,AK16))))</f>
        <v>3.3068299207201113</v>
      </c>
      <c r="AL18" s="481">
        <f t="shared" si="8"/>
        <v>2</v>
      </c>
      <c r="AM18" s="481">
        <f t="shared" si="8"/>
        <v>2</v>
      </c>
      <c r="AN18" s="481">
        <f t="shared" si="8"/>
        <v>4.5265507600819923</v>
      </c>
      <c r="AO18" s="481">
        <f t="shared" si="8"/>
        <v>4.5265507600819923</v>
      </c>
      <c r="AP18" s="481">
        <f t="shared" si="8"/>
        <v>2</v>
      </c>
      <c r="AQ18" s="481">
        <f t="shared" si="8"/>
        <v>2</v>
      </c>
      <c r="AR18" s="481">
        <f t="shared" si="8"/>
        <v>2</v>
      </c>
      <c r="AS18" s="481">
        <f t="shared" si="8"/>
        <v>13.967811487502582</v>
      </c>
      <c r="AT18" s="481">
        <f t="shared" si="8"/>
        <v>4.5265507600819923</v>
      </c>
      <c r="AU18" s="482">
        <f>IF(AU16 ="∞", 2, IF(ISNUMBER(AU16), IF(AU16 &gt; 1000000, 2,_xlfn.T.INV.2T(1-0.9545,AU16))))</f>
        <v>2.0086001480715878</v>
      </c>
    </row>
    <row r="19" spans="2:55" ht="15.75" thickBot="1">
      <c r="D19" s="129"/>
      <c r="AK19" s="260"/>
    </row>
    <row r="20" spans="2:55">
      <c r="B20" s="520" t="s">
        <v>306</v>
      </c>
      <c r="C20" s="492" t="s">
        <v>447</v>
      </c>
      <c r="D20" s="129"/>
      <c r="Z20" s="976" t="s">
        <v>121</v>
      </c>
      <c r="AA20" s="977"/>
      <c r="AB20" s="977"/>
      <c r="AC20" s="977"/>
      <c r="AD20" s="977"/>
      <c r="AE20" s="977"/>
      <c r="AF20" s="977"/>
      <c r="AG20" s="977"/>
      <c r="AH20" s="977"/>
      <c r="AI20" s="977"/>
      <c r="AJ20" s="978"/>
      <c r="AK20" s="260"/>
      <c r="AT20">
        <f>_xlfn.T.INV.2T(1-0.9545,8)</f>
        <v>2.3664194997430683</v>
      </c>
    </row>
    <row r="21" spans="2:55" ht="15.75" thickBot="1">
      <c r="Z21" s="257" t="s">
        <v>286</v>
      </c>
      <c r="AA21" s="258" t="s">
        <v>287</v>
      </c>
      <c r="AB21" s="258" t="s">
        <v>288</v>
      </c>
      <c r="AC21" s="258" t="s">
        <v>289</v>
      </c>
      <c r="AD21" s="258" t="s">
        <v>290</v>
      </c>
      <c r="AE21" s="258" t="s">
        <v>291</v>
      </c>
      <c r="AF21" s="258" t="s">
        <v>292</v>
      </c>
      <c r="AG21" s="258" t="s">
        <v>293</v>
      </c>
      <c r="AH21" s="258" t="s">
        <v>294</v>
      </c>
      <c r="AI21" s="258" t="s">
        <v>295</v>
      </c>
      <c r="AJ21" s="259" t="s">
        <v>296</v>
      </c>
    </row>
    <row r="22" spans="2:55">
      <c r="U22" s="195" t="s">
        <v>139</v>
      </c>
      <c r="V22" s="979" t="s">
        <v>273</v>
      </c>
      <c r="W22" s="980"/>
      <c r="X22" s="980"/>
      <c r="Y22" s="981"/>
      <c r="Z22" s="470">
        <f t="shared" ref="Z22:AJ22" si="9">IF(ISNUMBER(Z11),IF(ISNUMBER(Z16),(Z11^2)/(Z16^2),""),"")</f>
        <v>0.19329257907414554</v>
      </c>
      <c r="AA22" s="203">
        <f t="shared" si="9"/>
        <v>0.44757109369869436</v>
      </c>
      <c r="AB22" s="203">
        <f t="shared" si="9"/>
        <v>0.4475710959514908</v>
      </c>
      <c r="AC22" s="203">
        <f t="shared" si="9"/>
        <v>0.15545908081846371</v>
      </c>
      <c r="AD22" s="203">
        <f t="shared" si="9"/>
        <v>0.14673454195833774</v>
      </c>
      <c r="AE22" s="203">
        <f t="shared" si="9"/>
        <v>0.44757108751545849</v>
      </c>
      <c r="AF22" s="203">
        <f t="shared" si="9"/>
        <v>0.44757109602127765</v>
      </c>
      <c r="AG22" s="203">
        <f t="shared" si="9"/>
        <v>0.44730817379103849</v>
      </c>
      <c r="AH22" s="203">
        <f t="shared" si="9"/>
        <v>0.10300611972688727</v>
      </c>
      <c r="AI22" s="203">
        <f t="shared" si="9"/>
        <v>0.18188059112138397</v>
      </c>
      <c r="AJ22" s="204">
        <f t="shared" si="9"/>
        <v>0.42138984370386223</v>
      </c>
    </row>
    <row r="23" spans="2:55">
      <c r="U23" s="205" t="s">
        <v>302</v>
      </c>
      <c r="V23" s="982" t="s">
        <v>464</v>
      </c>
      <c r="W23" s="983"/>
      <c r="X23" s="983"/>
      <c r="Y23" s="984"/>
      <c r="Z23" s="471">
        <f t="shared" ref="Z23:AJ23" si="10">IF(ISNUMBER(Z12),IF(ISNUMBER(Z16),(Z12^2)/(Z16^2),""),"")</f>
        <v>5.5157354479068725E-4</v>
      </c>
      <c r="AA23" s="266">
        <f t="shared" si="10"/>
        <v>6.8938826976845723E-4</v>
      </c>
      <c r="AB23" s="266">
        <f t="shared" si="10"/>
        <v>6.893872720031654E-4</v>
      </c>
      <c r="AC23" s="266">
        <f t="shared" si="10"/>
        <v>4.4361314440483979E-4</v>
      </c>
      <c r="AD23" s="266">
        <f t="shared" si="10"/>
        <v>2.2601306177534973E-4</v>
      </c>
      <c r="AE23" s="266">
        <f t="shared" si="10"/>
        <v>6.8938711118344089E-4</v>
      </c>
      <c r="AF23" s="266">
        <f t="shared" si="10"/>
        <v>6.8938718720641028E-4</v>
      </c>
      <c r="AG23" s="266">
        <f t="shared" si="10"/>
        <v>1.276424493123197E-3</v>
      </c>
      <c r="AH23" s="266">
        <f t="shared" si="10"/>
        <v>2.9393502451658825E-4</v>
      </c>
      <c r="AI23" s="266">
        <f t="shared" si="10"/>
        <v>2.7986385396253446E-4</v>
      </c>
      <c r="AJ23" s="210">
        <f t="shared" si="10"/>
        <v>6.490609932487657E-4</v>
      </c>
    </row>
    <row r="24" spans="2:55">
      <c r="U24" s="267" t="s">
        <v>304</v>
      </c>
      <c r="V24" s="982" t="s">
        <v>175</v>
      </c>
      <c r="W24" s="983"/>
      <c r="X24" s="983"/>
      <c r="Y24" s="984"/>
      <c r="Z24" s="471">
        <f t="shared" ref="Z24:AJ24" si="11">IF(ISNUMBER(Z13),IF(ISNUMBER(Z16),(Z13^2)/(Z16^2),""),"")</f>
        <v>0.56787604083009524</v>
      </c>
      <c r="AA24" s="266">
        <f t="shared" si="11"/>
        <v>4.1031663878721017E-9</v>
      </c>
      <c r="AB24" s="266">
        <f t="shared" si="11"/>
        <v>7.1019124264518584E-11</v>
      </c>
      <c r="AC24" s="266">
        <f t="shared" si="11"/>
        <v>0.6524564273161455</v>
      </c>
      <c r="AD24" s="266">
        <f t="shared" si="11"/>
        <v>0.67215366840402657</v>
      </c>
      <c r="AE24" s="266">
        <f t="shared" si="11"/>
        <v>1.9067319602832029E-8</v>
      </c>
      <c r="AF24" s="266">
        <f t="shared" si="11"/>
        <v>0</v>
      </c>
      <c r="AG24" s="266">
        <f t="shared" si="11"/>
        <v>9.966659273319957E-11</v>
      </c>
      <c r="AH24" s="266">
        <f t="shared" si="11"/>
        <v>0.76972001461880413</v>
      </c>
      <c r="AI24" s="266">
        <f t="shared" si="11"/>
        <v>0.59362777095983099</v>
      </c>
      <c r="AJ24" s="210">
        <f t="shared" si="11"/>
        <v>5.8496297837575713E-2</v>
      </c>
    </row>
    <row r="25" spans="2:55" ht="15.75" thickBot="1">
      <c r="U25" s="211" t="s">
        <v>303</v>
      </c>
      <c r="V25" s="973" t="s">
        <v>135</v>
      </c>
      <c r="W25" s="974"/>
      <c r="X25" s="974"/>
      <c r="Y25" s="975"/>
      <c r="Z25" s="472">
        <f t="shared" ref="Z25:AJ25" si="12">IF(ISNUMBER(Z14),IF(ISNUMBER(Z16),(Z14^2)/(Z16^2),""),"")</f>
        <v>0.23827980655096839</v>
      </c>
      <c r="AA25" s="216">
        <f t="shared" si="12"/>
        <v>0.55173951392837084</v>
      </c>
      <c r="AB25" s="216">
        <f t="shared" si="12"/>
        <v>0.55173951670548682</v>
      </c>
      <c r="AC25" s="216">
        <f t="shared" si="12"/>
        <v>0.19164087872098587</v>
      </c>
      <c r="AD25" s="216">
        <f t="shared" si="12"/>
        <v>0.18088577657586016</v>
      </c>
      <c r="AE25" s="216">
        <f t="shared" si="12"/>
        <v>0.55173950630603863</v>
      </c>
      <c r="AF25" s="216">
        <f t="shared" si="12"/>
        <v>0.55173951679151589</v>
      </c>
      <c r="AG25" s="216">
        <f t="shared" si="12"/>
        <v>0.55141540161617175</v>
      </c>
      <c r="AH25" s="216">
        <f t="shared" si="12"/>
        <v>0.12697993062979201</v>
      </c>
      <c r="AI25" s="216">
        <f t="shared" si="12"/>
        <v>0.22421177406482248</v>
      </c>
      <c r="AJ25" s="217">
        <f t="shared" si="12"/>
        <v>0.51946479746531349</v>
      </c>
    </row>
  </sheetData>
  <dataConsolidate/>
  <mergeCells count="27">
    <mergeCell ref="B1:Z1"/>
    <mergeCell ref="B2:Z2"/>
    <mergeCell ref="B4:AU4"/>
    <mergeCell ref="C6:E6"/>
    <mergeCell ref="AK6:AL6"/>
    <mergeCell ref="K6:L6"/>
    <mergeCell ref="N6:Q6"/>
    <mergeCell ref="B8:AU8"/>
    <mergeCell ref="C12:F12"/>
    <mergeCell ref="AK9:AU9"/>
    <mergeCell ref="AK15:AU15"/>
    <mergeCell ref="AK17:AU17"/>
    <mergeCell ref="C11:F11"/>
    <mergeCell ref="C13:F13"/>
    <mergeCell ref="C14:F14"/>
    <mergeCell ref="C16:X16"/>
    <mergeCell ref="V9:Y9"/>
    <mergeCell ref="C10:F10"/>
    <mergeCell ref="W10:Y10"/>
    <mergeCell ref="V25:Y25"/>
    <mergeCell ref="Z20:AJ20"/>
    <mergeCell ref="Z9:AJ9"/>
    <mergeCell ref="V22:Y22"/>
    <mergeCell ref="V23:Y23"/>
    <mergeCell ref="V24:Y24"/>
    <mergeCell ref="C17:X17"/>
    <mergeCell ref="C18:X18"/>
  </mergeCells>
  <phoneticPr fontId="96" type="noConversion"/>
  <dataValidations count="1">
    <dataValidation type="list" allowBlank="1" showInputMessage="1" showErrorMessage="1" sqref="M6" xr:uid="{00000000-0002-0000-0200-000000000000}">
      <formula1>$BC$9:$BC$17</formula1>
    </dataValidation>
  </dataValidations>
  <pageMargins left="0.511811024" right="0.511811024" top="0.78740157499999996" bottom="0.78740157499999996" header="0.31496062000000002" footer="0.31496062000000002"/>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K85"/>
  <sheetViews>
    <sheetView topLeftCell="R1" zoomScaleNormal="100" workbookViewId="0">
      <selection activeCell="AA6" sqref="AA6"/>
    </sheetView>
  </sheetViews>
  <sheetFormatPr defaultRowHeight="15"/>
  <cols>
    <col min="1" max="1" width="2.85546875" customWidth="1"/>
    <col min="7" max="7" width="13.5703125" bestFit="1" customWidth="1"/>
    <col min="10" max="11" width="9.28515625" customWidth="1"/>
    <col min="14" max="14" width="10" customWidth="1"/>
    <col min="20" max="21" width="9.5703125" customWidth="1"/>
    <col min="22" max="22" width="10.5703125" customWidth="1"/>
    <col min="23" max="26" width="9.5703125" customWidth="1"/>
    <col min="27" max="27" width="10.140625" customWidth="1"/>
    <col min="28" max="31" width="9.5703125" customWidth="1"/>
    <col min="32" max="32" width="10.140625" customWidth="1"/>
    <col min="33" max="34" width="9.5703125" customWidth="1"/>
    <col min="36" max="36" width="30.42578125" customWidth="1"/>
    <col min="37" max="37" width="22.28515625" customWidth="1"/>
  </cols>
  <sheetData>
    <row r="1" spans="2:37" ht="23.25" customHeight="1">
      <c r="B1" s="1004" t="s">
        <v>115</v>
      </c>
      <c r="C1" s="1004"/>
      <c r="D1" s="1004"/>
      <c r="E1" s="1004"/>
      <c r="F1" s="1004"/>
      <c r="G1" s="1004"/>
      <c r="H1" s="1004"/>
      <c r="I1" s="1004"/>
      <c r="J1" s="1004"/>
      <c r="K1" s="1004"/>
      <c r="L1" s="1004"/>
      <c r="M1" s="1004"/>
      <c r="N1" s="1004"/>
      <c r="O1" s="1004"/>
      <c r="P1" s="1004"/>
      <c r="Q1" s="1004"/>
      <c r="R1" s="1004"/>
      <c r="S1" s="1004"/>
      <c r="T1" s="1004"/>
      <c r="U1" s="1020"/>
      <c r="V1" s="1020"/>
      <c r="W1" s="1020"/>
      <c r="X1" s="1020"/>
      <c r="Y1" s="1020"/>
      <c r="Z1" s="1020"/>
      <c r="AA1" s="1020"/>
      <c r="AB1" s="1020"/>
      <c r="AC1" s="1020"/>
      <c r="AD1" s="1020"/>
      <c r="AE1" s="1020"/>
      <c r="AF1" s="1020"/>
      <c r="AG1" s="1020"/>
      <c r="AH1" s="1020"/>
    </row>
    <row r="2" spans="2:37" ht="23.25" customHeight="1">
      <c r="B2" s="1005" t="s">
        <v>450</v>
      </c>
      <c r="C2" s="1005"/>
      <c r="D2" s="1005"/>
      <c r="E2" s="1005"/>
      <c r="F2" s="1005"/>
      <c r="G2" s="1005"/>
      <c r="H2" s="1005"/>
      <c r="I2" s="1005"/>
      <c r="J2" s="1005"/>
      <c r="K2" s="1005"/>
      <c r="L2" s="1005"/>
      <c r="M2" s="1005"/>
      <c r="N2" s="1005"/>
      <c r="O2" s="1005"/>
      <c r="P2" s="1005"/>
      <c r="Q2" s="1005"/>
      <c r="R2" s="1005"/>
      <c r="S2" s="1005"/>
      <c r="T2" s="1005"/>
      <c r="U2" s="1020"/>
      <c r="V2" s="1020"/>
      <c r="W2" s="1020"/>
      <c r="X2" s="1020"/>
      <c r="Y2" s="1020"/>
      <c r="Z2" s="1020"/>
      <c r="AA2" s="1020"/>
      <c r="AB2" s="1020"/>
      <c r="AC2" s="1020"/>
      <c r="AD2" s="1020"/>
      <c r="AE2" s="1020"/>
      <c r="AF2" s="1020"/>
      <c r="AG2" s="1020"/>
      <c r="AH2" s="1020"/>
    </row>
    <row r="3" spans="2:37" ht="4.5" customHeight="1"/>
    <row r="4" spans="2:37" ht="18.75">
      <c r="B4" s="1019" t="s">
        <v>448</v>
      </c>
      <c r="C4" s="1019"/>
      <c r="D4" s="1019"/>
      <c r="E4" s="1019"/>
      <c r="F4" s="1019"/>
      <c r="G4" s="1019"/>
      <c r="H4" s="1019"/>
      <c r="I4" s="1019"/>
      <c r="J4" s="1019"/>
      <c r="K4" s="1019"/>
      <c r="L4" s="1019"/>
      <c r="M4" s="1019"/>
      <c r="N4" s="1019"/>
      <c r="O4" s="1019"/>
      <c r="P4" s="1019"/>
      <c r="Q4" s="1019"/>
      <c r="R4" s="1019"/>
      <c r="S4" s="1019"/>
      <c r="T4" s="1019"/>
      <c r="U4" s="1019"/>
      <c r="V4" s="1019"/>
      <c r="W4" s="1019"/>
      <c r="X4" s="1019"/>
      <c r="Y4" s="1019"/>
      <c r="Z4" s="1019"/>
      <c r="AA4" s="1019"/>
      <c r="AB4" s="1019"/>
      <c r="AC4" s="1019"/>
      <c r="AD4" s="1019"/>
      <c r="AE4" s="1019"/>
      <c r="AF4" s="1019"/>
      <c r="AG4" s="1019"/>
      <c r="AH4" s="1019"/>
    </row>
    <row r="5" spans="2:37" ht="6.75" customHeight="1" thickBot="1"/>
    <row r="6" spans="2:37" ht="15.75" thickBot="1">
      <c r="B6" s="250" t="s">
        <v>149</v>
      </c>
      <c r="C6" s="1009" t="s">
        <v>148</v>
      </c>
      <c r="D6" s="1009"/>
      <c r="E6" s="1009"/>
      <c r="F6" s="251" t="s">
        <v>62</v>
      </c>
      <c r="G6" s="252" t="s">
        <v>63</v>
      </c>
      <c r="H6" s="251" t="s">
        <v>116</v>
      </c>
      <c r="I6" s="252" t="str">
        <f>IF($L6 = 0.25, 'Cadastro - Padrões Absorbância'!D$16, IF($L6 = 0.5, 'Cadastro - Padrões Absorbância'!D$15, 'Cadastro - Padrões Absorbância'!D$14))</f>
        <v>39343-5D</v>
      </c>
      <c r="J6" s="1011" t="s">
        <v>314</v>
      </c>
      <c r="K6" s="1011"/>
      <c r="L6" s="718">
        <v>0.25</v>
      </c>
      <c r="M6" s="1011" t="s">
        <v>162</v>
      </c>
      <c r="N6" s="1011"/>
      <c r="O6" s="253">
        <f>IF($AA6 = 1, VLOOKUP($I6,'Cadastro - Padrões Absorbância'!$D$7:$K$9,4,FALSE), IF($AA6 = 5, VLOOKUP($I6,'Cadastro - Padrões Absorbância'!$D$10:$K$12, 4,FALSE)))</f>
        <v>0.26629999999999998</v>
      </c>
      <c r="P6" s="253">
        <f>IF($AA6 = 1, VLOOKUP($I6,'Cadastro - Padrões Absorbância'!$D$7:$K$9,5,FALSE), IF($AA6 = 5, VLOOKUP($I6,'Cadastro - Padrões Absorbância'!$D$10:$K$12, 5,FALSE)))</f>
        <v>0.24030000000000001</v>
      </c>
      <c r="Q6" s="253">
        <f>IF($AA6 = 1, VLOOKUP($I6,'Cadastro - Padrões Absorbância'!$D$7:$K$9,6,FALSE), IF($AA6 = 5, VLOOKUP($I6,'Cadastro - Padrões Absorbância'!$D$10:$K$12, 6,FALSE)))</f>
        <v>0.24990000000000001</v>
      </c>
      <c r="R6" s="253">
        <f>IF($AA6 = 1, VLOOKUP($I6,'Cadastro - Padrões Absorbância'!$D$7:$K$9,7,FALSE), IF($AA6 = 5, VLOOKUP($I6,'Cadastro - Padrões Absorbância'!$D$10:$K$12, 7,FALSE)))</f>
        <v>0.29380000000000001</v>
      </c>
      <c r="S6" s="253">
        <f>IF($AA6 = 1, VLOOKUP($I6,'Cadastro - Padrões Absorbância'!$D$7:$K$9,8,FALSE), IF($AA6 = 5, VLOOKUP($I6,'Cadastro - Padrões Absorbância'!$D$10:$K$12, 8,FALSE)))</f>
        <v>0.30159999999999998</v>
      </c>
      <c r="T6" s="1017" t="s">
        <v>436</v>
      </c>
      <c r="U6" s="1010"/>
      <c r="V6" s="271" t="s">
        <v>176</v>
      </c>
      <c r="W6" s="1010" t="str">
        <f>CONCATENATE(L6, " A", " – ",I6)</f>
        <v>0,25 A – 39343-5D</v>
      </c>
      <c r="X6" s="1015"/>
      <c r="Y6" s="1016" t="s">
        <v>164</v>
      </c>
      <c r="Z6" s="1011"/>
      <c r="AA6" s="717">
        <f>'Registro Tratado'!$H$44</f>
        <v>1</v>
      </c>
      <c r="AB6" s="1011" t="s">
        <v>307</v>
      </c>
      <c r="AC6" s="1011"/>
      <c r="AD6" s="493">
        <f>VLOOKUP($I6,'Cadastro - Padrões Absorbância'!$D$7:$Q$12,14,FALSE)</f>
        <v>44414</v>
      </c>
      <c r="AE6" s="254"/>
      <c r="AF6" s="254"/>
      <c r="AG6" s="254"/>
      <c r="AH6" s="272"/>
    </row>
    <row r="7" spans="2:37" ht="4.5" customHeight="1" thickBot="1">
      <c r="B7" s="185"/>
      <c r="C7" s="185"/>
      <c r="D7" s="186"/>
      <c r="E7" s="186"/>
      <c r="F7" s="185"/>
      <c r="G7" s="186"/>
      <c r="H7" s="185"/>
      <c r="I7" s="186"/>
      <c r="J7" s="186"/>
      <c r="K7" s="186"/>
      <c r="L7" s="185"/>
      <c r="M7" s="185"/>
      <c r="N7" s="185"/>
      <c r="O7" s="187"/>
      <c r="P7" s="188"/>
      <c r="Q7" s="188"/>
      <c r="R7" s="189"/>
      <c r="S7" s="189"/>
      <c r="AH7" s="270"/>
    </row>
    <row r="8" spans="2:37" ht="15.75" customHeight="1" thickBot="1">
      <c r="B8" s="998" t="s">
        <v>117</v>
      </c>
      <c r="C8" s="999"/>
      <c r="D8" s="999"/>
      <c r="E8" s="999"/>
      <c r="F8" s="999"/>
      <c r="G8" s="999"/>
      <c r="H8" s="999"/>
      <c r="I8" s="999"/>
      <c r="J8" s="999"/>
      <c r="K8" s="999"/>
      <c r="L8" s="999"/>
      <c r="M8" s="999"/>
      <c r="N8" s="999"/>
      <c r="O8" s="1000"/>
      <c r="P8" s="995" t="s">
        <v>118</v>
      </c>
      <c r="Q8" s="996"/>
      <c r="R8" s="996"/>
      <c r="S8" s="997"/>
      <c r="T8" s="976" t="s">
        <v>119</v>
      </c>
      <c r="U8" s="977"/>
      <c r="V8" s="977"/>
      <c r="W8" s="977"/>
      <c r="X8" s="978"/>
      <c r="Y8" s="976" t="s">
        <v>120</v>
      </c>
      <c r="Z8" s="977"/>
      <c r="AA8" s="977"/>
      <c r="AB8" s="977"/>
      <c r="AC8" s="978"/>
      <c r="AD8" s="976" t="s">
        <v>121</v>
      </c>
      <c r="AE8" s="977"/>
      <c r="AF8" s="977"/>
      <c r="AG8" s="977"/>
      <c r="AH8" s="978"/>
    </row>
    <row r="9" spans="2:37" ht="15.75" thickBot="1">
      <c r="B9" s="190" t="s">
        <v>122</v>
      </c>
      <c r="C9" s="998" t="s">
        <v>123</v>
      </c>
      <c r="D9" s="999"/>
      <c r="E9" s="999"/>
      <c r="F9" s="1000"/>
      <c r="G9" s="176">
        <v>440</v>
      </c>
      <c r="H9" s="176">
        <v>465</v>
      </c>
      <c r="I9" s="176">
        <v>546.1</v>
      </c>
      <c r="J9" s="176">
        <v>590</v>
      </c>
      <c r="K9" s="177">
        <v>635</v>
      </c>
      <c r="L9" s="191" t="s">
        <v>124</v>
      </c>
      <c r="M9" s="192" t="s">
        <v>125</v>
      </c>
      <c r="N9" s="193" t="s">
        <v>126</v>
      </c>
      <c r="O9" s="192" t="s">
        <v>127</v>
      </c>
      <c r="P9" s="194" t="s">
        <v>128</v>
      </c>
      <c r="Q9" s="1001" t="s">
        <v>124</v>
      </c>
      <c r="R9" s="1002"/>
      <c r="S9" s="1003"/>
      <c r="T9" s="257" t="s">
        <v>166</v>
      </c>
      <c r="U9" s="258" t="s">
        <v>167</v>
      </c>
      <c r="V9" s="258" t="s">
        <v>168</v>
      </c>
      <c r="W9" s="258" t="s">
        <v>169</v>
      </c>
      <c r="X9" s="259" t="s">
        <v>170</v>
      </c>
      <c r="Y9" s="257" t="s">
        <v>166</v>
      </c>
      <c r="Z9" s="258" t="s">
        <v>167</v>
      </c>
      <c r="AA9" s="258" t="s">
        <v>168</v>
      </c>
      <c r="AB9" s="258" t="s">
        <v>169</v>
      </c>
      <c r="AC9" s="259" t="s">
        <v>170</v>
      </c>
      <c r="AD9" s="257" t="s">
        <v>166</v>
      </c>
      <c r="AE9" s="258" t="s">
        <v>167</v>
      </c>
      <c r="AF9" s="258" t="s">
        <v>168</v>
      </c>
      <c r="AG9" s="258" t="s">
        <v>169</v>
      </c>
      <c r="AH9" s="259" t="s">
        <v>170</v>
      </c>
      <c r="AJ9" s="29" t="s">
        <v>313</v>
      </c>
      <c r="AK9" s="29" t="s">
        <v>315</v>
      </c>
    </row>
    <row r="10" spans="2:37">
      <c r="B10" s="205" t="s">
        <v>139</v>
      </c>
      <c r="C10" s="982" t="s">
        <v>165</v>
      </c>
      <c r="D10" s="992"/>
      <c r="E10" s="992"/>
      <c r="F10" s="984"/>
      <c r="G10" s="513">
        <f>IF($AA6 = 1, VLOOKUP($I6,'Cadastro - Padrões Absorbância'!$D$7:$P$9,9,FALSE), IF($AA6 = 5, VLOOKUP($I6,'Cadastro - Padrões Absorbância'!$D$10:$P$12, 9,FALSE)))</f>
        <v>4.0000000000000001E-3</v>
      </c>
      <c r="H10" s="513">
        <f>IF($AA6 = 1, VLOOKUP($I6,'Cadastro - Padrões Absorbância'!$D$7:$P$9,10,FALSE), IF($AA6 = 5, VLOOKUP($I6,'Cadastro - Padrões Absorbância'!$D$10:$P$12, 10,FALSE)))</f>
        <v>4.0000000000000001E-3</v>
      </c>
      <c r="I10" s="513">
        <f>IF($AA6 = 1, VLOOKUP($I6,'Cadastro - Padrões Absorbância'!$D$7:$P$9,11,FALSE), IF($AA6 = 5, VLOOKUP($I6,'Cadastro - Padrões Absorbância'!$D$10:$P$12, 11,FALSE)))</f>
        <v>4.0000000000000001E-3</v>
      </c>
      <c r="J10" s="513">
        <f>IF($AA6 = 1, VLOOKUP($I6,'Cadastro - Padrões Absorbância'!$D$7:$P$9,12,FALSE), IF($AA6 = 5, VLOOKUP($I6,'Cadastro - Padrões Absorbância'!$D$10:$P$12, 12,FALSE)))</f>
        <v>4.0000000000000001E-3</v>
      </c>
      <c r="K10" s="513">
        <f>IF($AA6 = 1, VLOOKUP($I6,'Cadastro - Padrões Absorbância'!$D$7:$P$9,13,FALSE), IF($AA6 = 5, VLOOKUP($I6,'Cadastro - Padrões Absorbância'!$D$10:$P$12, 13,FALSE)))</f>
        <v>4.0000000000000001E-3</v>
      </c>
      <c r="L10" s="198" t="s">
        <v>59</v>
      </c>
      <c r="M10" s="196" t="s">
        <v>136</v>
      </c>
      <c r="N10" s="196" t="s">
        <v>132</v>
      </c>
      <c r="O10" s="198">
        <v>2</v>
      </c>
      <c r="P10" s="196">
        <v>1</v>
      </c>
      <c r="Q10" s="196" t="s">
        <v>130</v>
      </c>
      <c r="R10" s="196" t="s">
        <v>133</v>
      </c>
      <c r="S10" s="198" t="s">
        <v>130</v>
      </c>
      <c r="T10" s="525">
        <f>IF(ISNUMBER(G10),G10/$O$10,"")</f>
        <v>2E-3</v>
      </c>
      <c r="U10" s="526">
        <f>IF(ISNUMBER(H10),H10/$O$10,"")</f>
        <v>2E-3</v>
      </c>
      <c r="V10" s="526">
        <f>IF(ISNUMBER(I10),I10/$O$10,"")</f>
        <v>2E-3</v>
      </c>
      <c r="W10" s="526">
        <f>IF(ISNUMBER(J10),J10/$O$10,"")</f>
        <v>2E-3</v>
      </c>
      <c r="X10" s="527">
        <f>IF(ISNUMBER(K10),K10/$O$10,"")</f>
        <v>2E-3</v>
      </c>
      <c r="Y10" s="207" t="s">
        <v>138</v>
      </c>
      <c r="Z10" s="207" t="s">
        <v>138</v>
      </c>
      <c r="AA10" s="207" t="s">
        <v>138</v>
      </c>
      <c r="AB10" s="207" t="s">
        <v>138</v>
      </c>
      <c r="AC10" s="269" t="s">
        <v>138</v>
      </c>
      <c r="AD10" s="708">
        <f ca="1">IF(ISNUMBER(T10),IF(ISNUMBER(T$15),(T10^2)/(T$15^2),""),"")</f>
        <v>0.75277625125721892</v>
      </c>
      <c r="AE10" s="709">
        <f t="shared" ref="AE10:AH13" ca="1" si="0">IF(ISNUMBER(U10),IF(ISNUMBER(U$15),(U10^2)/(U$15^2),""),"")</f>
        <v>0.92730484068933194</v>
      </c>
      <c r="AF10" s="709">
        <f t="shared" ca="1" si="0"/>
        <v>0.96470833476940554</v>
      </c>
      <c r="AG10" s="709">
        <f t="shared" ca="1" si="0"/>
        <v>0.92747365231475176</v>
      </c>
      <c r="AH10" s="710">
        <f t="shared" ca="1" si="0"/>
        <v>0.92746365517769991</v>
      </c>
      <c r="AJ10" s="451">
        <v>1</v>
      </c>
      <c r="AK10" s="451">
        <v>0.25</v>
      </c>
    </row>
    <row r="11" spans="2:37">
      <c r="B11" s="268" t="s">
        <v>140</v>
      </c>
      <c r="C11" s="1012" t="s">
        <v>454</v>
      </c>
      <c r="D11" s="1013"/>
      <c r="E11" s="1013"/>
      <c r="F11" s="1014"/>
      <c r="G11" s="517">
        <f ca="1">IF($AD6 = "", G10, ABS((((YEAR(TODAY())-YEAR($AD6))*12 + MONTH(TODAY()) - MONTH($AD6)))*VLOOKUP($L$6,'Cadastro - Padrões Absorbância'!$F$41:$P$43,7,FALSE)))</f>
        <v>1.1818181818181779E-4</v>
      </c>
      <c r="H11" s="517">
        <f ca="1">IF($AD6 = "", H10, ABS((((YEAR(TODAY())-YEAR($AD6))*12 - MONTH($AD6) + MONTH(TODAY())))*VLOOKUP($L$6,'Cadastro - Padrões Absorbância'!$F$41:$P$43,8,FALSE)))</f>
        <v>1.1363636363636247E-4</v>
      </c>
      <c r="I11" s="517">
        <f ca="1">IF($AD6 = "", I10, ABS((((YEAR(TODAY())-YEAR($AD6))*12 - MONTH($AD6) + MONTH(TODAY())))*VLOOKUP($L$6,'Cadastro - Padrões Absorbância'!$F$41:$P$43,9,FALSE)))</f>
        <v>7.7272727272726337E-5</v>
      </c>
      <c r="J11" s="517">
        <f ca="1">IF($AD6 = "", J10, ABS((((YEAR(TODAY())-YEAR($AD6))*12 - MONTH($AD6) + MONTH(TODAY())))*VLOOKUP($L$6,'Cadastro - Padrões Absorbância'!$F$41:$P$43,10,FALSE)))</f>
        <v>5.9090909090907626E-5</v>
      </c>
      <c r="K11" s="517">
        <f ca="1">IF($AD6 = "", K10, ABS((((YEAR(TODAY())-YEAR($AD6))*12 - MONTH($AD6) + MONTH(TODAY())))*VLOOKUP($L$6,'Cadastro - Padrões Absorbância'!$F$41:$P$43,11,FALSE)))</f>
        <v>6.3636363636364196E-5</v>
      </c>
      <c r="L11" s="198" t="s">
        <v>59</v>
      </c>
      <c r="M11" s="256" t="s">
        <v>136</v>
      </c>
      <c r="N11" s="256" t="s">
        <v>137</v>
      </c>
      <c r="O11" s="198">
        <f>SQRT(12)</f>
        <v>3.4641016151377544</v>
      </c>
      <c r="P11" s="256">
        <v>1</v>
      </c>
      <c r="Q11" s="256" t="s">
        <v>130</v>
      </c>
      <c r="R11" s="256" t="s">
        <v>133</v>
      </c>
      <c r="S11" s="198" t="s">
        <v>130</v>
      </c>
      <c r="T11" s="206">
        <f ca="1">IF(ISNUMBER(G11),G11/$O$11,"")</f>
        <v>3.4116152270295958E-5</v>
      </c>
      <c r="U11" s="256">
        <f ca="1">IF(ISNUMBER(H11),H11/$O$11,"")</f>
        <v>3.2803992567592039E-5</v>
      </c>
      <c r="V11" s="256">
        <f ca="1">IF(ISNUMBER(I11),I11/$O$11,"")</f>
        <v>2.2306714945962546E-5</v>
      </c>
      <c r="W11" s="256">
        <f ca="1">IF(ISNUMBER(J11),J11/$O$11,"")</f>
        <v>1.7058076135147613E-5</v>
      </c>
      <c r="X11" s="198">
        <f ca="1">IF(ISNUMBER(K11),K11/$O$11,"")</f>
        <v>1.8370235837851891E-5</v>
      </c>
      <c r="Y11" s="269" t="s">
        <v>138</v>
      </c>
      <c r="Z11" s="269" t="s">
        <v>138</v>
      </c>
      <c r="AA11" s="269" t="s">
        <v>138</v>
      </c>
      <c r="AB11" s="269" t="s">
        <v>138</v>
      </c>
      <c r="AC11" s="269" t="s">
        <v>138</v>
      </c>
      <c r="AD11" s="711">
        <f ca="1">IF(ISNUMBER(T11),IF(ISNUMBER(T$15),(T11^2)/(T$15^2),""),"")</f>
        <v>2.1904129900562875E-4</v>
      </c>
      <c r="AE11" s="712">
        <f t="shared" ca="1" si="0"/>
        <v>2.4946863181423063E-4</v>
      </c>
      <c r="AF11" s="712">
        <f t="shared" ca="1" si="0"/>
        <v>1.2000719212652872E-4</v>
      </c>
      <c r="AG11" s="712">
        <f t="shared" ca="1" si="0"/>
        <v>6.7468598158223702E-5</v>
      </c>
      <c r="AH11" s="713">
        <f t="shared" ca="1" si="0"/>
        <v>7.8246761542197137E-5</v>
      </c>
      <c r="AJ11" s="451">
        <v>5</v>
      </c>
      <c r="AK11" s="451">
        <v>0.5</v>
      </c>
    </row>
    <row r="12" spans="2:37">
      <c r="B12" s="267" t="s">
        <v>129</v>
      </c>
      <c r="C12" s="982" t="s">
        <v>175</v>
      </c>
      <c r="D12" s="983"/>
      <c r="E12" s="983"/>
      <c r="F12" s="984"/>
      <c r="G12" s="196">
        <f>'Registro Tratado'!N$370</f>
        <v>1.1086778913041737E-3</v>
      </c>
      <c r="H12" s="196">
        <f>'Registro Tratado'!O$370</f>
        <v>4.7871355387816948E-4</v>
      </c>
      <c r="I12" s="196">
        <f>'Registro Tratado'!P$370</f>
        <v>2.5000000000000022E-4</v>
      </c>
      <c r="J12" s="196">
        <f>'Registro Tratado'!Q$370</f>
        <v>4.7871355387816948E-4</v>
      </c>
      <c r="K12" s="196">
        <f>'Registro Tratado'!R$370</f>
        <v>4.7871355387816948E-4</v>
      </c>
      <c r="L12" s="198" t="s">
        <v>59</v>
      </c>
      <c r="M12" s="196" t="s">
        <v>131</v>
      </c>
      <c r="N12" s="196" t="s">
        <v>132</v>
      </c>
      <c r="O12" s="198">
        <v>1</v>
      </c>
      <c r="P12" s="196">
        <v>1</v>
      </c>
      <c r="Q12" s="256" t="s">
        <v>130</v>
      </c>
      <c r="R12" s="256" t="s">
        <v>133</v>
      </c>
      <c r="S12" s="198" t="s">
        <v>130</v>
      </c>
      <c r="T12" s="206">
        <f>IF(ISNUMBER(G12),G12/$O$12,"")</f>
        <v>1.1086778913041737E-3</v>
      </c>
      <c r="U12" s="256">
        <f>IF(ISNUMBER(H12),H12/$O$12,"")</f>
        <v>4.7871355387816948E-4</v>
      </c>
      <c r="V12" s="256">
        <f>IF(ISNUMBER(I12),I12/$O$12,"")</f>
        <v>2.5000000000000022E-4</v>
      </c>
      <c r="W12" s="256">
        <f>IF(ISNUMBER(J12),J12/$O$12,"")</f>
        <v>4.7871355387816948E-4</v>
      </c>
      <c r="X12" s="198">
        <f>IF(ISNUMBER(K12),K12/$O$12,"")</f>
        <v>4.7871355387816948E-4</v>
      </c>
      <c r="Y12" s="201">
        <f>VLOOKUP($I6,'Registro Tratado'!$F$362:$R$400, 9, FALSE) - 1</f>
        <v>3</v>
      </c>
      <c r="Z12" s="201">
        <f>VLOOKUP($I6,'Registro Tratado'!$F$362:$R$400, 10, FALSE) - 1</f>
        <v>3</v>
      </c>
      <c r="AA12" s="201">
        <f>VLOOKUP($I6,'Registro Tratado'!$F$362:$R$400, 11, FALSE) - 1</f>
        <v>3</v>
      </c>
      <c r="AB12" s="201">
        <f>VLOOKUP($I6,'Registro Tratado'!$F$362:$R$400, 12, FALSE) - 1</f>
        <v>3</v>
      </c>
      <c r="AC12" s="201">
        <f>VLOOKUP($I6,'Registro Tratado'!$F$362:$R$400, 13, FALSE) - 1</f>
        <v>3</v>
      </c>
      <c r="AD12" s="711">
        <f ca="1">IF(ISNUMBER(T12),IF(ISNUMBER(T$15),(T12^2)/(T$15^2),""),"")</f>
        <v>0.23132186887591671</v>
      </c>
      <c r="AE12" s="712">
        <f ca="1">IF(ISNUMBER(U12),IF(ISNUMBER(U$15),(U12^2)/(U$15^2),""),"")</f>
        <v>5.312683983115974E-2</v>
      </c>
      <c r="AF12" s="712">
        <f ca="1">IF(ISNUMBER(V12),IF(ISNUMBER(V$15),(V12^2)/(V$15^2),""),"")</f>
        <v>1.5073567730771991E-2</v>
      </c>
      <c r="AG12" s="712">
        <f t="shared" ca="1" si="0"/>
        <v>5.3136511330532751E-2</v>
      </c>
      <c r="AH12" s="713">
        <f t="shared" ca="1" si="0"/>
        <v>5.3135938577889161E-2</v>
      </c>
      <c r="AJ12" s="451"/>
      <c r="AK12" s="451">
        <v>1</v>
      </c>
    </row>
    <row r="13" spans="2:37" ht="15.75" thickBot="1">
      <c r="B13" s="205" t="s">
        <v>134</v>
      </c>
      <c r="C13" s="973" t="s">
        <v>135</v>
      </c>
      <c r="D13" s="974"/>
      <c r="E13" s="974"/>
      <c r="F13" s="975"/>
      <c r="G13" s="213">
        <f>IF(ISNUMBER('Registro Original'!$G$46),'Registro Original'!$G$46,"")</f>
        <v>1E-3</v>
      </c>
      <c r="H13" s="213">
        <f>IF(ISNUMBER('Registro Original'!$G$46),'Registro Original'!$G$46,"")</f>
        <v>1E-3</v>
      </c>
      <c r="I13" s="213">
        <f>IF(ISNUMBER('Registro Original'!$G$46),'Registro Original'!$G$46,"")</f>
        <v>1E-3</v>
      </c>
      <c r="J13" s="213">
        <f>IF(ISNUMBER('Registro Original'!$G$46),'Registro Original'!$G$46,"")</f>
        <v>1E-3</v>
      </c>
      <c r="K13" s="213">
        <f>IF(ISNUMBER('Registro Original'!$G$46),'Registro Original'!$G$46,"")</f>
        <v>1E-3</v>
      </c>
      <c r="L13" s="212" t="s">
        <v>59</v>
      </c>
      <c r="M13" s="213" t="s">
        <v>136</v>
      </c>
      <c r="N13" s="213" t="s">
        <v>137</v>
      </c>
      <c r="O13" s="212">
        <f>SQRT(12)</f>
        <v>3.4641016151377544</v>
      </c>
      <c r="P13" s="213">
        <v>1</v>
      </c>
      <c r="Q13" s="213" t="s">
        <v>130</v>
      </c>
      <c r="R13" s="213" t="s">
        <v>133</v>
      </c>
      <c r="S13" s="212" t="s">
        <v>130</v>
      </c>
      <c r="T13" s="214">
        <f>IF(ISNUMBER(G13),G13/$O$13,"")</f>
        <v>2.886751345948129E-4</v>
      </c>
      <c r="U13" s="213">
        <f>IF(ISNUMBER(H13),H13/$O$13,"")</f>
        <v>2.886751345948129E-4</v>
      </c>
      <c r="V13" s="213">
        <f>IF(ISNUMBER(I13),I13/$O$13,"")</f>
        <v>2.886751345948129E-4</v>
      </c>
      <c r="W13" s="213">
        <f>IF(ISNUMBER(J13),J13/$O$13,"")</f>
        <v>2.886751345948129E-4</v>
      </c>
      <c r="X13" s="212">
        <f>IF(ISNUMBER(K13),K13/$O$13,"")</f>
        <v>2.886751345948129E-4</v>
      </c>
      <c r="Y13" s="207" t="s">
        <v>138</v>
      </c>
      <c r="Z13" s="207" t="s">
        <v>138</v>
      </c>
      <c r="AA13" s="207" t="s">
        <v>138</v>
      </c>
      <c r="AB13" s="207" t="s">
        <v>138</v>
      </c>
      <c r="AC13" s="269" t="s">
        <v>138</v>
      </c>
      <c r="AD13" s="714">
        <f ca="1">IF(ISNUMBER(T13),IF(ISNUMBER(T$15),(T13^2)/(T$15^2),""),"")</f>
        <v>1.568283856785873E-2</v>
      </c>
      <c r="AE13" s="715">
        <f t="shared" ca="1" si="0"/>
        <v>1.9318850847694417E-2</v>
      </c>
      <c r="AF13" s="715">
        <f t="shared" ca="1" si="0"/>
        <v>2.0098090307695951E-2</v>
      </c>
      <c r="AG13" s="715">
        <f t="shared" ca="1" si="0"/>
        <v>1.9322367756557331E-2</v>
      </c>
      <c r="AH13" s="716">
        <f t="shared" ca="1" si="0"/>
        <v>1.932215948286875E-2</v>
      </c>
    </row>
    <row r="14" spans="2:37" ht="15.75" thickBot="1">
      <c r="B14" s="218"/>
      <c r="C14" s="219"/>
      <c r="D14" s="219"/>
      <c r="E14" s="219"/>
      <c r="F14" s="219"/>
      <c r="G14" s="196"/>
      <c r="H14" s="196"/>
      <c r="I14" s="196"/>
      <c r="J14" s="196"/>
      <c r="K14" s="196"/>
      <c r="L14" s="196"/>
      <c r="M14" s="196"/>
      <c r="N14" s="196"/>
      <c r="O14" s="196"/>
      <c r="P14" s="196"/>
      <c r="Q14" s="196"/>
      <c r="R14" s="196"/>
      <c r="S14" s="196"/>
      <c r="T14" s="196"/>
      <c r="U14" s="196"/>
      <c r="V14" s="196"/>
      <c r="W14" s="196"/>
      <c r="X14" s="530" t="s">
        <v>321</v>
      </c>
      <c r="Y14" s="976" t="s">
        <v>141</v>
      </c>
      <c r="Z14" s="977"/>
      <c r="AA14" s="977"/>
      <c r="AB14" s="977"/>
      <c r="AC14" s="978"/>
      <c r="AD14" s="196"/>
      <c r="AE14" s="196"/>
      <c r="AF14" s="196"/>
      <c r="AG14" s="196"/>
      <c r="AH14" s="196"/>
    </row>
    <row r="15" spans="2:37" ht="15.75" thickBot="1">
      <c r="B15" s="195" t="s">
        <v>142</v>
      </c>
      <c r="C15" s="993" t="s">
        <v>143</v>
      </c>
      <c r="D15" s="993"/>
      <c r="E15" s="993"/>
      <c r="F15" s="993"/>
      <c r="G15" s="993"/>
      <c r="H15" s="993"/>
      <c r="I15" s="993"/>
      <c r="J15" s="993"/>
      <c r="K15" s="993"/>
      <c r="L15" s="993"/>
      <c r="M15" s="993"/>
      <c r="N15" s="993"/>
      <c r="O15" s="993"/>
      <c r="P15" s="993"/>
      <c r="Q15" s="993"/>
      <c r="R15" s="994"/>
      <c r="S15" s="220" t="s">
        <v>130</v>
      </c>
      <c r="T15" s="221">
        <f ca="1" xml:space="preserve"> IF(ISNUMBER(T12),SQRT(SUMSQ($P10*T10, $P11*T11, $P12*T12, $P13*T13)),"")</f>
        <v>2.3051385884249416E-3</v>
      </c>
      <c r="U15" s="222">
        <f ca="1" xml:space="preserve"> IF(ISNUMBER(U12),SQRT(SUMSQ($P10*U10, $P11*U11, $P12*U12, $P13*U13)),"")</f>
        <v>2.0769150444657995E-3</v>
      </c>
      <c r="V15" s="222">
        <f ca="1" xml:space="preserve"> IF(ISNUMBER(V12),SQRT(SUMSQ($P10*V10, $P11*V11, $P12*V12, $P13*V13)),"")</f>
        <v>2.0362541400485877E-3</v>
      </c>
      <c r="W15" s="222">
        <f ca="1" xml:space="preserve"> IF(ISNUMBER(W12),SQRT(SUMSQ($P10*W10, $P11*W11, $P12*W12, $P13*W13)),"")</f>
        <v>2.0767260238080112E-3</v>
      </c>
      <c r="X15" s="223">
        <f ca="1" xml:space="preserve"> IF(ISNUMBER(X12),SQRT(SUMSQ($P10*X10, $P11*X11, $P12*X12, $P13*X13)),"")</f>
        <v>2.076737216299823E-3</v>
      </c>
      <c r="Y15" s="531">
        <f ca="1">IF(Y12="","",IF(T12 = 0, "∞", IF((T15^4)/((T12^4)/Y12) &gt; 1000000, "∞", (T15^4)/((T12^4)/Y12))))</f>
        <v>56.064489241474433</v>
      </c>
      <c r="Z15" s="532">
        <f ca="1">IF(Z12="","",IF(U12 = 0, "", IF((U15^4)/((U12^4)/Z12) &gt; 1000000, "∞", (U15^4)/((U12^4)/Z12))))</f>
        <v>1062.9021561704578</v>
      </c>
      <c r="AA15" s="532">
        <f ca="1">IF(AA12="","",IF(V12 = 0, "∞", IF((V15^4)/((V12^4)/AA12) &gt; 1000000, "∞", (V15^4)/((V12^4)/AA12))))</f>
        <v>13203.502173624245</v>
      </c>
      <c r="AB15" s="532">
        <f ca="1">IF(AB12="","",IF(W12 = 0, "∞", IF((W15^4)/((W12^4)/AB12) &gt; 1000000, "∞", (W15^4)/((W12^4)/AB12))))</f>
        <v>1062.5152688212788</v>
      </c>
      <c r="AC15" s="533">
        <f ca="1">IF(AC12="","",IF(V12 = 0, "∞", IF((V15^4)/((V12^4)/AC12) &gt; 1000000, "∞", (V15^4)/((V12^4)/AC12))))</f>
        <v>13203.502173624245</v>
      </c>
      <c r="AD15" s="218"/>
      <c r="AE15" s="218"/>
      <c r="AF15" s="218"/>
      <c r="AG15" s="218"/>
      <c r="AH15" s="218"/>
    </row>
    <row r="16" spans="2:37">
      <c r="B16" s="205" t="s">
        <v>144</v>
      </c>
      <c r="C16" s="985" t="s">
        <v>145</v>
      </c>
      <c r="D16" s="985"/>
      <c r="E16" s="985"/>
      <c r="F16" s="985"/>
      <c r="G16" s="985"/>
      <c r="H16" s="985"/>
      <c r="I16" s="985"/>
      <c r="J16" s="985"/>
      <c r="K16" s="985"/>
      <c r="L16" s="985"/>
      <c r="M16" s="985"/>
      <c r="N16" s="985"/>
      <c r="O16" s="985"/>
      <c r="P16" s="985"/>
      <c r="Q16" s="985"/>
      <c r="R16" s="986"/>
      <c r="S16" s="224" t="s">
        <v>130</v>
      </c>
      <c r="T16" s="225">
        <f ca="1">IF(ISNUMBER(Y17),T15*Y17,"")</f>
        <v>4.7154802014545139E-3</v>
      </c>
      <c r="U16" s="226">
        <f ca="1">IF(ISNUMBER(Z17),U15*Z17,"")</f>
        <v>4.1587299845023658E-3</v>
      </c>
      <c r="V16" s="226">
        <f ca="1">IF(ISNUMBER(AA17),V15*AA17,"")</f>
        <v>4.0728988600629758E-3</v>
      </c>
      <c r="W16" s="226">
        <f ca="1">IF(ISNUMBER(AB17),W15*AB17,"")</f>
        <v>4.1583514972458316E-3</v>
      </c>
      <c r="X16" s="226">
        <f ca="1">IF(ISNUMBER(AC17),X15*AC17,"")</f>
        <v>4.1538727777447665E-3</v>
      </c>
      <c r="Y16" s="976" t="s">
        <v>146</v>
      </c>
      <c r="Z16" s="977"/>
      <c r="AA16" s="977"/>
      <c r="AB16" s="977"/>
      <c r="AC16" s="978"/>
      <c r="AD16" s="218"/>
      <c r="AE16" s="218"/>
      <c r="AF16" s="218"/>
      <c r="AG16" s="218"/>
      <c r="AH16" s="218"/>
    </row>
    <row r="17" spans="2:34" ht="15.75" thickBot="1">
      <c r="B17" s="211" t="s">
        <v>144</v>
      </c>
      <c r="C17" s="987" t="s">
        <v>147</v>
      </c>
      <c r="D17" s="987"/>
      <c r="E17" s="987"/>
      <c r="F17" s="987"/>
      <c r="G17" s="987"/>
      <c r="H17" s="987"/>
      <c r="I17" s="987"/>
      <c r="J17" s="987"/>
      <c r="K17" s="987"/>
      <c r="L17" s="987"/>
      <c r="M17" s="987"/>
      <c r="N17" s="987"/>
      <c r="O17" s="987"/>
      <c r="P17" s="987"/>
      <c r="Q17" s="987"/>
      <c r="R17" s="988"/>
      <c r="S17" s="227" t="s">
        <v>130</v>
      </c>
      <c r="T17" s="524">
        <f ca="1">IF(ISNUMBER(T16), IF(((T16-ROUNDDOWN(T16,2))/T16)*100 &gt; 5,ROUNDUP(T16,2), ROUNDDOWN(T16,2)),"")</f>
        <v>0.01</v>
      </c>
      <c r="U17" s="518">
        <f ca="1">IF(ISNUMBER(U16), IF(((U16-ROUNDDOWN(U16,2))/U16)*100 &gt; 5,ROUNDUP(U16,2), ROUNDDOWN(U16,2)),"")</f>
        <v>0.01</v>
      </c>
      <c r="V17" s="518">
        <f ca="1">IF(ISNUMBER(V16), IF(((V16-ROUNDDOWN(V16,2))/V16)*100 &gt; 5,ROUNDUP(V16,2), ROUNDDOWN(V16,2)),"")</f>
        <v>0.01</v>
      </c>
      <c r="W17" s="518">
        <f ca="1">IF(ISNUMBER(W16), IF(((W16-ROUNDDOWN(W16,2))/W16)*100 &gt; 5,ROUNDUP(W16,2), ROUNDDOWN(W16,2)),"")</f>
        <v>0.01</v>
      </c>
      <c r="X17" s="518">
        <f ca="1">IF(ISNUMBER(X16), IF(((X16-ROUNDDOWN(X16,2))/X16)*100 &gt; 5,ROUNDUP(X16,2), ROUNDDOWN(X16,2)),"")</f>
        <v>0.01</v>
      </c>
      <c r="Y17" s="480">
        <f ca="1">IF(Y15 ="∞", 2, IF(ISNUMBER(Y15), IF(Y15 &gt; 1000000, 2,_xlfn.T.INV.2T(1-0.9545,Y15))))</f>
        <v>2.0456384814053692</v>
      </c>
      <c r="Z17" s="481">
        <f ca="1">IF(Z15 ="∞", 2, IF(ISNUMBER(Z15), IF(Z15 &gt; 1000000, 2,_xlfn.T.INV.2T(1-0.9545,Z15))))</f>
        <v>2.002359218102745</v>
      </c>
      <c r="AA17" s="481">
        <f ca="1">IF(AA15 ="∞", 2, IF(ISNUMBER(AA15), IF(AA15 &gt; 1000000, 2,_xlfn.T.INV.2T(1-0.9545,AA15))))</f>
        <v>2.0001918129756588</v>
      </c>
      <c r="AB17" s="481">
        <f ca="1">IF(AB15 ="∞", 2, IF(ISNUMBER(AB15), IF(AB15 &gt; 1000000, 2,_xlfn.T.INV.2T(1-0.9545,AB15))))</f>
        <v>2.002359218102745</v>
      </c>
      <c r="AC17" s="482">
        <f ca="1">IF(AC15 ="∞", 2, IF(ISNUMBER(AC15), IF(AC15 &gt; 1000000, 2,_xlfn.T.INV.2T(1-0.9545,AC15))))</f>
        <v>2.0001918129756588</v>
      </c>
      <c r="AD17" s="218"/>
      <c r="AE17" s="218"/>
      <c r="AF17" s="218"/>
      <c r="AG17" s="218"/>
      <c r="AH17" s="218"/>
    </row>
    <row r="18" spans="2:34" ht="15.75" thickBot="1">
      <c r="B18" s="228"/>
      <c r="C18" s="228"/>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row>
    <row r="19" spans="2:34" ht="15.75" thickBot="1">
      <c r="B19" s="478" t="s">
        <v>149</v>
      </c>
      <c r="C19" s="1009" t="s">
        <v>148</v>
      </c>
      <c r="D19" s="1009"/>
      <c r="E19" s="1009"/>
      <c r="F19" s="479" t="s">
        <v>62</v>
      </c>
      <c r="G19" s="477" t="s">
        <v>63</v>
      </c>
      <c r="H19" s="479" t="s">
        <v>116</v>
      </c>
      <c r="I19" s="477" t="str">
        <f>IF($L19 = 0.25, 'Cadastro - Padrões Absorbância'!D$16, IF($L19 = 0.5, 'Cadastro - Padrões Absorbância'!D$15, 'Cadastro - Padrões Absorbância'!D$14))</f>
        <v>44602-3N</v>
      </c>
      <c r="J19" s="1011" t="s">
        <v>314</v>
      </c>
      <c r="K19" s="1011"/>
      <c r="L19" s="718">
        <v>0.5</v>
      </c>
      <c r="M19" s="1011" t="s">
        <v>162</v>
      </c>
      <c r="N19" s="1011"/>
      <c r="O19" s="253">
        <f>IF($AA19 = 1, VLOOKUP($I19,'Cadastro - Padrões Absorbância'!$D$7:$K$9,4,FALSE), IF($AA19 = 5, VLOOKUP($I19,'Cadastro - Padrões Absorbância'!$D$10:$K$12, 4,FALSE)))</f>
        <v>0.55200000000000005</v>
      </c>
      <c r="P19" s="253">
        <f>IF($AA19 = 1, VLOOKUP($I19,'Cadastro - Padrões Absorbância'!$D$7:$K$9,5,FALSE), IF($AA19 = 5, VLOOKUP($I19,'Cadastro - Padrões Absorbância'!$D$10:$K$12, 5,FALSE)))</f>
        <v>0.51339999999999997</v>
      </c>
      <c r="Q19" s="253">
        <f>IF($AA19 = 1, VLOOKUP($I19,'Cadastro - Padrões Absorbância'!$D$7:$K$9,6,FALSE), IF($AA19 = 5, VLOOKUP($I19,'Cadastro - Padrões Absorbância'!$D$10:$K$12, 6,FALSE)))</f>
        <v>0.51170000000000004</v>
      </c>
      <c r="R19" s="253">
        <f>IF($AA19 = 1, VLOOKUP($I19,'Cadastro - Padrões Absorbância'!$D$7:$K$9,7,FALSE), IF($AA19 = 5, VLOOKUP($I19,'Cadastro - Padrões Absorbância'!$D$10:$K$12, 7,FALSE)))</f>
        <v>0.54500000000000004</v>
      </c>
      <c r="S19" s="253">
        <f>IF($AA19 = 1, VLOOKUP($I19,'Cadastro - Padrões Absorbância'!$D$7:$K$9,8,FALSE), IF($AA19 = 5, VLOOKUP($I19,'Cadastro - Padrões Absorbância'!$D$10:$K$12, 8,FALSE)))</f>
        <v>0.55230000000000001</v>
      </c>
      <c r="T19" s="1017" t="s">
        <v>437</v>
      </c>
      <c r="U19" s="1010"/>
      <c r="V19" s="271" t="s">
        <v>176</v>
      </c>
      <c r="W19" s="1010" t="str">
        <f>CONCATENATE(L19, " A", " – ",I19)</f>
        <v>0,5 A – 44602-3N</v>
      </c>
      <c r="X19" s="1015"/>
      <c r="Y19" s="1016" t="s">
        <v>164</v>
      </c>
      <c r="Z19" s="1011"/>
      <c r="AA19" s="717">
        <f>'Registro Tratado'!$H$44</f>
        <v>1</v>
      </c>
      <c r="AB19" s="1011" t="s">
        <v>307</v>
      </c>
      <c r="AC19" s="1011"/>
      <c r="AD19" s="493">
        <f>VLOOKUP($I19,'Cadastro - Padrões Absorbância'!$D$7:$Q$12,14,FALSE)</f>
        <v>44414</v>
      </c>
      <c r="AE19" s="254"/>
      <c r="AF19" s="254"/>
      <c r="AG19" s="254"/>
      <c r="AH19" s="272"/>
    </row>
    <row r="20" spans="2:34" ht="4.5" customHeight="1" thickBot="1">
      <c r="B20" s="185"/>
      <c r="C20" s="185"/>
      <c r="D20" s="186"/>
      <c r="E20" s="186"/>
      <c r="F20" s="185"/>
      <c r="G20" s="186"/>
      <c r="H20" s="185"/>
      <c r="I20" s="186"/>
      <c r="J20" s="186"/>
      <c r="K20" s="186"/>
      <c r="L20" s="185"/>
      <c r="M20" s="185"/>
      <c r="N20" s="185"/>
      <c r="O20" s="187"/>
      <c r="P20" s="188"/>
      <c r="Q20" s="188"/>
      <c r="R20" s="189"/>
      <c r="S20" s="189"/>
      <c r="AH20" s="270"/>
    </row>
    <row r="21" spans="2:34" ht="15.75" customHeight="1" thickBot="1">
      <c r="B21" s="998" t="s">
        <v>117</v>
      </c>
      <c r="C21" s="999"/>
      <c r="D21" s="999"/>
      <c r="E21" s="999"/>
      <c r="F21" s="999"/>
      <c r="G21" s="999"/>
      <c r="H21" s="999"/>
      <c r="I21" s="999"/>
      <c r="J21" s="999"/>
      <c r="K21" s="999"/>
      <c r="L21" s="999"/>
      <c r="M21" s="999"/>
      <c r="N21" s="999"/>
      <c r="O21" s="1000"/>
      <c r="P21" s="995" t="s">
        <v>118</v>
      </c>
      <c r="Q21" s="996"/>
      <c r="R21" s="996"/>
      <c r="S21" s="997"/>
      <c r="T21" s="976" t="s">
        <v>119</v>
      </c>
      <c r="U21" s="977"/>
      <c r="V21" s="977"/>
      <c r="W21" s="977"/>
      <c r="X21" s="978"/>
      <c r="Y21" s="976" t="s">
        <v>120</v>
      </c>
      <c r="Z21" s="977"/>
      <c r="AA21" s="977"/>
      <c r="AB21" s="977"/>
      <c r="AC21" s="978"/>
      <c r="AD21" s="976" t="s">
        <v>121</v>
      </c>
      <c r="AE21" s="977"/>
      <c r="AF21" s="977"/>
      <c r="AG21" s="977"/>
      <c r="AH21" s="978"/>
    </row>
    <row r="22" spans="2:34" ht="15.75" thickBot="1">
      <c r="B22" s="190" t="s">
        <v>122</v>
      </c>
      <c r="C22" s="998" t="s">
        <v>123</v>
      </c>
      <c r="D22" s="999"/>
      <c r="E22" s="999"/>
      <c r="F22" s="1000"/>
      <c r="G22" s="176">
        <v>440</v>
      </c>
      <c r="H22" s="176">
        <v>465</v>
      </c>
      <c r="I22" s="176">
        <v>546.1</v>
      </c>
      <c r="J22" s="176">
        <v>590</v>
      </c>
      <c r="K22" s="177">
        <v>635</v>
      </c>
      <c r="L22" s="476" t="s">
        <v>124</v>
      </c>
      <c r="M22" s="192" t="s">
        <v>125</v>
      </c>
      <c r="N22" s="193" t="s">
        <v>126</v>
      </c>
      <c r="O22" s="192" t="s">
        <v>127</v>
      </c>
      <c r="P22" s="194" t="s">
        <v>128</v>
      </c>
      <c r="Q22" s="1001" t="s">
        <v>124</v>
      </c>
      <c r="R22" s="1002"/>
      <c r="S22" s="1003"/>
      <c r="T22" s="257" t="s">
        <v>166</v>
      </c>
      <c r="U22" s="258" t="s">
        <v>167</v>
      </c>
      <c r="V22" s="258" t="s">
        <v>168</v>
      </c>
      <c r="W22" s="258" t="s">
        <v>169</v>
      </c>
      <c r="X22" s="259" t="s">
        <v>170</v>
      </c>
      <c r="Y22" s="257" t="s">
        <v>166</v>
      </c>
      <c r="Z22" s="258" t="s">
        <v>167</v>
      </c>
      <c r="AA22" s="258" t="s">
        <v>168</v>
      </c>
      <c r="AB22" s="258" t="s">
        <v>169</v>
      </c>
      <c r="AC22" s="259" t="s">
        <v>170</v>
      </c>
      <c r="AD22" s="257" t="s">
        <v>166</v>
      </c>
      <c r="AE22" s="258" t="s">
        <v>167</v>
      </c>
      <c r="AF22" s="258" t="s">
        <v>168</v>
      </c>
      <c r="AG22" s="258" t="s">
        <v>169</v>
      </c>
      <c r="AH22" s="259" t="s">
        <v>170</v>
      </c>
    </row>
    <row r="23" spans="2:34">
      <c r="B23" s="205" t="s">
        <v>139</v>
      </c>
      <c r="C23" s="982" t="s">
        <v>165</v>
      </c>
      <c r="D23" s="992"/>
      <c r="E23" s="992"/>
      <c r="F23" s="984"/>
      <c r="G23" s="513">
        <f>IF($AA19 = 1, VLOOKUP($I19,'Cadastro - Padrões Absorbância'!$D$7:$P$9,9,FALSE), IF($AA19 = 5, VLOOKUP($I19,'Cadastro - Padrões Absorbância'!$D$10:$P$12, 9,FALSE)))</f>
        <v>4.0000000000000001E-3</v>
      </c>
      <c r="H23" s="513">
        <f>IF($AA19 = 1, VLOOKUP($I19,'Cadastro - Padrões Absorbância'!$D$7:$P$9,10,FALSE), IF($AA19 = 5, VLOOKUP($I19,'Cadastro - Padrões Absorbância'!$D$10:$P$12, 10,FALSE)))</f>
        <v>4.0000000000000001E-3</v>
      </c>
      <c r="I23" s="513">
        <f>IF($AA19 = 1, VLOOKUP($I19,'Cadastro - Padrões Absorbância'!$D$7:$P$9,11,FALSE), IF($AA19 = 5, VLOOKUP($I19,'Cadastro - Padrões Absorbância'!$D$10:$P$12, 11,FALSE)))</f>
        <v>4.0000000000000001E-3</v>
      </c>
      <c r="J23" s="513">
        <f>IF($AA19 = 1, VLOOKUP($I19,'Cadastro - Padrões Absorbância'!$D$7:$P$9,12,FALSE), IF($AA19 = 5, VLOOKUP($I19,'Cadastro - Padrões Absorbância'!$D$10:$P$12, 12,FALSE)))</f>
        <v>4.0000000000000001E-3</v>
      </c>
      <c r="K23" s="513">
        <f>IF($AA19 = 1, VLOOKUP($I19,'Cadastro - Padrões Absorbância'!$D$7:$P$9,13,FALSE), IF($AA19 = 5, VLOOKUP($I19,'Cadastro - Padrões Absorbância'!$D$10:$P$12, 13,FALSE)))</f>
        <v>4.0000000000000001E-3</v>
      </c>
      <c r="L23" s="198" t="s">
        <v>59</v>
      </c>
      <c r="M23" s="196" t="s">
        <v>136</v>
      </c>
      <c r="N23" s="196" t="s">
        <v>132</v>
      </c>
      <c r="O23" s="198">
        <v>2</v>
      </c>
      <c r="P23" s="196">
        <v>1</v>
      </c>
      <c r="Q23" s="196" t="s">
        <v>130</v>
      </c>
      <c r="R23" s="196" t="s">
        <v>133</v>
      </c>
      <c r="S23" s="198" t="s">
        <v>130</v>
      </c>
      <c r="T23" s="525">
        <f>IF(ISNUMBER(G23),G23/$O$10,"")</f>
        <v>2E-3</v>
      </c>
      <c r="U23" s="526">
        <f>IF(ISNUMBER(H23),H23/$O$10,"")</f>
        <v>2E-3</v>
      </c>
      <c r="V23" s="526">
        <f>IF(ISNUMBER(I23),I23/$O$10,"")</f>
        <v>2E-3</v>
      </c>
      <c r="W23" s="526">
        <f>IF(ISNUMBER(J23),J23/$O$10,"")</f>
        <v>2E-3</v>
      </c>
      <c r="X23" s="527">
        <f>IF(ISNUMBER(K23),K23/$O$10,"")</f>
        <v>2E-3</v>
      </c>
      <c r="Y23" s="207" t="s">
        <v>138</v>
      </c>
      <c r="Z23" s="207" t="s">
        <v>138</v>
      </c>
      <c r="AA23" s="207" t="s">
        <v>138</v>
      </c>
      <c r="AB23" s="207" t="s">
        <v>138</v>
      </c>
      <c r="AC23" s="208" t="s">
        <v>138</v>
      </c>
      <c r="AD23" s="202">
        <f ca="1">IF(ISNUMBER(T23),IF(ISNUMBER(T$28),(T23^2)/(T$28^2),""),"")</f>
        <v>0.88342528074762738</v>
      </c>
      <c r="AE23" s="203">
        <f ca="1">IF(ISNUMBER(U23),IF(ISNUMBER(U$28),(U23^2)/(U$28^2),""),"")</f>
        <v>0.92880011993803202</v>
      </c>
      <c r="AF23" s="203">
        <f ca="1">IF(ISNUMBER(V23),IF(ISNUMBER(V$28),(V23^2)/(V$28^2),""),"")</f>
        <v>0.95988536906129807</v>
      </c>
      <c r="AG23" s="203">
        <f ca="1">IF(ISNUMBER(W23),IF(ISNUMBER(W$28),(W23^2)/(W$28^2),""),"")</f>
        <v>0.8311185792852136</v>
      </c>
      <c r="AH23" s="204">
        <f ca="1">IF(ISNUMBER(X23),IF(ISNUMBER(X$28),(X23^2)/(X$28^2),""),"")</f>
        <v>0.83111055144070589</v>
      </c>
    </row>
    <row r="24" spans="2:34">
      <c r="B24" s="268" t="s">
        <v>140</v>
      </c>
      <c r="C24" s="1012" t="s">
        <v>454</v>
      </c>
      <c r="D24" s="1013"/>
      <c r="E24" s="1013"/>
      <c r="F24" s="1014"/>
      <c r="G24" s="517">
        <f ca="1">IF($AD19 = "", G23, ABS((((YEAR(TODAY())-YEAR($AD19))*12 - MONTH($AD19) + MONTH(TODAY())))*VLOOKUP($L$6,'Cadastro - Padrões Absorbância'!$F$41:$P$43,7,FALSE)))</f>
        <v>1.1818181818181779E-4</v>
      </c>
      <c r="H24" s="517">
        <f ca="1">IF($AD19 = "", H23, ABS((((YEAR(TODAY())-YEAR($AD19))*12 - MONTH($AD19) + MONTH(TODAY())))*VLOOKUP($L$6,'Cadastro - Padrões Absorbância'!$F$41:$P$43,8,FALSE)))</f>
        <v>1.1363636363636247E-4</v>
      </c>
      <c r="I24" s="517">
        <f ca="1">IF($AD19 = "", I23, ABS((((YEAR(TODAY())-YEAR($AD19))*12 - MONTH($AD19) + MONTH(TODAY())))*VLOOKUP($L$6,'Cadastro - Padrões Absorbância'!$F$41:$P$43,9,FALSE)))</f>
        <v>7.7272727272726337E-5</v>
      </c>
      <c r="J24" s="517">
        <f ca="1">IF($AD19 = "", J23, ABS((((YEAR(TODAY())-YEAR($AD19))*12 - MONTH($AD19) + MONTH(TODAY())))*VLOOKUP($L$6,'Cadastro - Padrões Absorbância'!$F$41:$P$43,10,FALSE)))</f>
        <v>5.9090909090907626E-5</v>
      </c>
      <c r="K24" s="517">
        <f ca="1">IF($AD19 = "", K23, ABS((((YEAR(TODAY())-YEAR($AD19))*12 - MONTH($AD19) + MONTH(TODAY())))*VLOOKUP($L$6,'Cadastro - Padrões Absorbância'!$F$41:$P$43,11,FALSE)))</f>
        <v>6.3636363636364196E-5</v>
      </c>
      <c r="L24" s="198" t="s">
        <v>59</v>
      </c>
      <c r="M24" s="256" t="s">
        <v>136</v>
      </c>
      <c r="N24" s="256" t="s">
        <v>137</v>
      </c>
      <c r="O24" s="198">
        <f>SQRT(12)</f>
        <v>3.4641016151377544</v>
      </c>
      <c r="P24" s="256">
        <v>1</v>
      </c>
      <c r="Q24" s="256" t="s">
        <v>130</v>
      </c>
      <c r="R24" s="256" t="s">
        <v>133</v>
      </c>
      <c r="S24" s="198" t="s">
        <v>130</v>
      </c>
      <c r="T24" s="206">
        <f ca="1">IF(ISNUMBER(G24),G24/$O$11,"")</f>
        <v>3.4116152270295958E-5</v>
      </c>
      <c r="U24" s="256">
        <f ca="1">IF(ISNUMBER(H24),H24/$O$11,"")</f>
        <v>3.2803992567592039E-5</v>
      </c>
      <c r="V24" s="256">
        <f ca="1">IF(ISNUMBER(I24),I24/$O$11,"")</f>
        <v>2.2306714945962546E-5</v>
      </c>
      <c r="W24" s="256">
        <f ca="1">IF(ISNUMBER(J24),J24/$O$11,"")</f>
        <v>1.7058076135147613E-5</v>
      </c>
      <c r="X24" s="198">
        <f ca="1">IF(ISNUMBER(K24),K24/$O$11,"")</f>
        <v>1.8370235837851891E-5</v>
      </c>
      <c r="Y24" s="269" t="s">
        <v>138</v>
      </c>
      <c r="Z24" s="269" t="s">
        <v>138</v>
      </c>
      <c r="AA24" s="269" t="s">
        <v>138</v>
      </c>
      <c r="AB24" s="269" t="s">
        <v>138</v>
      </c>
      <c r="AC24" s="208" t="s">
        <v>138</v>
      </c>
      <c r="AD24" s="209">
        <f ca="1">IF(ISNUMBER(T24),IF(ISNUMBER(T$28),(T24^2)/(T$28^2),""),"")</f>
        <v>2.5705728726988305E-4</v>
      </c>
      <c r="AE24" s="266">
        <f t="shared" ref="AE24:AH26" ca="1" si="1">IF(ISNUMBER(U24),IF(ISNUMBER(U$28),(U24^2)/(U$28^2),""),"")</f>
        <v>2.4987090003497685E-4</v>
      </c>
      <c r="AF24" s="266">
        <f t="shared" ca="1" si="1"/>
        <v>1.1940722781452673E-4</v>
      </c>
      <c r="AG24" s="266">
        <f t="shared" ca="1" si="1"/>
        <v>6.0459297477270219E-5</v>
      </c>
      <c r="AH24" s="210">
        <f t="shared" ca="1" si="1"/>
        <v>7.0117797900474011E-5</v>
      </c>
    </row>
    <row r="25" spans="2:34">
      <c r="B25" s="267" t="s">
        <v>129</v>
      </c>
      <c r="C25" s="982" t="s">
        <v>175</v>
      </c>
      <c r="D25" s="983"/>
      <c r="E25" s="983"/>
      <c r="F25" s="984"/>
      <c r="G25" s="196">
        <f>'Registro Tratado'!N$383</f>
        <v>6.6583281184793403E-4</v>
      </c>
      <c r="H25" s="196">
        <f>'Registro Tratado'!O$383</f>
        <v>4.7140452079103207E-4</v>
      </c>
      <c r="I25" s="196">
        <f>'Registro Tratado'!P$383</f>
        <v>2.8867513459481317E-4</v>
      </c>
      <c r="J25" s="196">
        <f>'Registro Tratado'!Q$383</f>
        <v>8.5391256382996727E-4</v>
      </c>
      <c r="K25" s="196">
        <f>'Registro Tratado'!R$383</f>
        <v>8.5391256382996727E-4</v>
      </c>
      <c r="L25" s="198" t="s">
        <v>59</v>
      </c>
      <c r="M25" s="196" t="s">
        <v>131</v>
      </c>
      <c r="N25" s="196" t="s">
        <v>132</v>
      </c>
      <c r="O25" s="198">
        <v>1</v>
      </c>
      <c r="P25" s="196">
        <v>1</v>
      </c>
      <c r="Q25" s="256" t="s">
        <v>130</v>
      </c>
      <c r="R25" s="256" t="s">
        <v>133</v>
      </c>
      <c r="S25" s="198" t="s">
        <v>130</v>
      </c>
      <c r="T25" s="206">
        <f>IF(ISNUMBER(G25),G25/$O$12,"")</f>
        <v>6.6583281184793403E-4</v>
      </c>
      <c r="U25" s="256">
        <f>IF(ISNUMBER(H25),H25/$O$12,"")</f>
        <v>4.7140452079103207E-4</v>
      </c>
      <c r="V25" s="256">
        <f>IF(ISNUMBER(I25),I25/$O$12,"")</f>
        <v>2.8867513459481317E-4</v>
      </c>
      <c r="W25" s="256">
        <f>IF(ISNUMBER(J25),J25/$O$12,"")</f>
        <v>8.5391256382996727E-4</v>
      </c>
      <c r="X25" s="198">
        <f>IF(ISNUMBER(K25),K25/$O$12,"")</f>
        <v>8.5391256382996727E-4</v>
      </c>
      <c r="Y25" s="201">
        <f>VLOOKUP($I19,'Registro Tratado'!$F$362:$R$400, 9, FALSE) - 1</f>
        <v>3</v>
      </c>
      <c r="Z25" s="201">
        <f>VLOOKUP($I19,'Registro Tratado'!$F$362:$R$400, 10, FALSE) - 1</f>
        <v>3</v>
      </c>
      <c r="AA25" s="201">
        <f>VLOOKUP($I19,'Registro Tratado'!$F$362:$R$400, 11, FALSE) - 1</f>
        <v>3</v>
      </c>
      <c r="AB25" s="201">
        <f>VLOOKUP($I19,'Registro Tratado'!$F$362:$R$400, 12, FALSE) - 1</f>
        <v>3</v>
      </c>
      <c r="AC25" s="201">
        <f>VLOOKUP($I19,'Registro Tratado'!$F$362:$R$400, 13, FALSE) - 1</f>
        <v>3</v>
      </c>
      <c r="AD25" s="209">
        <f ca="1">IF(ISNUMBER(T25),IF(ISNUMBER(T$28),(T25^2)/(T$28^2),""),"")</f>
        <v>9.7912968616193821E-2</v>
      </c>
      <c r="AE25" s="266">
        <f t="shared" ca="1" si="1"/>
        <v>5.1600006663224091E-2</v>
      </c>
      <c r="AF25" s="266">
        <f t="shared" ca="1" si="1"/>
        <v>1.9997611855443749E-2</v>
      </c>
      <c r="AG25" s="266">
        <f t="shared" ca="1" si="1"/>
        <v>0.151505991015534</v>
      </c>
      <c r="AH25" s="210">
        <f t="shared" ca="1" si="1"/>
        <v>0.15150452760637895</v>
      </c>
    </row>
    <row r="26" spans="2:34" ht="15.75" thickBot="1">
      <c r="B26" s="205" t="s">
        <v>134</v>
      </c>
      <c r="C26" s="973" t="s">
        <v>135</v>
      </c>
      <c r="D26" s="974"/>
      <c r="E26" s="974"/>
      <c r="F26" s="975"/>
      <c r="G26" s="213">
        <f>IF(ISNUMBER('Registro Original'!$G$46),'Registro Original'!$G$46,"")</f>
        <v>1E-3</v>
      </c>
      <c r="H26" s="213">
        <f>IF(ISNUMBER('Registro Original'!$G$46),'Registro Original'!$G$46,"")</f>
        <v>1E-3</v>
      </c>
      <c r="I26" s="213">
        <f>IF(ISNUMBER('Registro Original'!$G$46),'Registro Original'!$G$46,"")</f>
        <v>1E-3</v>
      </c>
      <c r="J26" s="213">
        <f>IF(ISNUMBER('Registro Original'!$G$46),'Registro Original'!$G$46,"")</f>
        <v>1E-3</v>
      </c>
      <c r="K26" s="213">
        <f>IF(ISNUMBER('Registro Original'!$G$46),'Registro Original'!$G$46,"")</f>
        <v>1E-3</v>
      </c>
      <c r="L26" s="212" t="s">
        <v>59</v>
      </c>
      <c r="M26" s="213" t="s">
        <v>136</v>
      </c>
      <c r="N26" s="213" t="s">
        <v>137</v>
      </c>
      <c r="O26" s="212">
        <f>SQRT(12)</f>
        <v>3.4641016151377544</v>
      </c>
      <c r="P26" s="213">
        <v>1</v>
      </c>
      <c r="Q26" s="213" t="s">
        <v>130</v>
      </c>
      <c r="R26" s="213" t="s">
        <v>133</v>
      </c>
      <c r="S26" s="212" t="s">
        <v>130</v>
      </c>
      <c r="T26" s="214">
        <f>IF(ISNUMBER(G26),G26/$O$13,"")</f>
        <v>2.886751345948129E-4</v>
      </c>
      <c r="U26" s="213">
        <f>IF(ISNUMBER(H26),H26/$O$13,"")</f>
        <v>2.886751345948129E-4</v>
      </c>
      <c r="V26" s="213">
        <f>IF(ISNUMBER(I26),I26/$O$13,"")</f>
        <v>2.886751345948129E-4</v>
      </c>
      <c r="W26" s="213">
        <f>IF(ISNUMBER(J26),J26/$O$13,"")</f>
        <v>2.886751345948129E-4</v>
      </c>
      <c r="X26" s="212">
        <f>IF(ISNUMBER(K26),K26/$O$13,"")</f>
        <v>2.886751345948129E-4</v>
      </c>
      <c r="Y26" s="207" t="s">
        <v>138</v>
      </c>
      <c r="Z26" s="207" t="s">
        <v>138</v>
      </c>
      <c r="AA26" s="207" t="s">
        <v>138</v>
      </c>
      <c r="AB26" s="207" t="s">
        <v>138</v>
      </c>
      <c r="AC26" s="208" t="s">
        <v>138</v>
      </c>
      <c r="AD26" s="215">
        <f ca="1">IF(ISNUMBER(T26),IF(ISNUMBER(T$28),(T26^2)/(T$28^2),""),"")</f>
        <v>1.8404693348908905E-2</v>
      </c>
      <c r="AE26" s="216">
        <f t="shared" ca="1" si="1"/>
        <v>1.9350002498709003E-2</v>
      </c>
      <c r="AF26" s="216">
        <f t="shared" ca="1" si="1"/>
        <v>1.9997611855443711E-2</v>
      </c>
      <c r="AG26" s="216">
        <f t="shared" ca="1" si="1"/>
        <v>1.7314970401775286E-2</v>
      </c>
      <c r="AH26" s="217">
        <f t="shared" ca="1" si="1"/>
        <v>1.7314803155014706E-2</v>
      </c>
    </row>
    <row r="27" spans="2:34" ht="15.75" customHeight="1" thickBot="1">
      <c r="B27" s="218"/>
      <c r="C27" s="219"/>
      <c r="D27" s="219"/>
      <c r="E27" s="219"/>
      <c r="F27" s="219"/>
      <c r="G27" s="196"/>
      <c r="H27" s="196"/>
      <c r="I27" s="196"/>
      <c r="J27" s="196"/>
      <c r="K27" s="196"/>
      <c r="L27" s="196"/>
      <c r="M27" s="196"/>
      <c r="N27" s="196"/>
      <c r="O27" s="196"/>
      <c r="P27" s="196"/>
      <c r="Q27" s="196"/>
      <c r="R27" s="196"/>
      <c r="S27" s="196"/>
      <c r="T27" s="196"/>
      <c r="U27" s="196"/>
      <c r="V27" s="196"/>
      <c r="W27" s="196"/>
      <c r="X27" s="196"/>
      <c r="Y27" s="976" t="s">
        <v>141</v>
      </c>
      <c r="Z27" s="977"/>
      <c r="AA27" s="977"/>
      <c r="AB27" s="977"/>
      <c r="AC27" s="978"/>
      <c r="AD27" s="196"/>
      <c r="AE27" s="196"/>
      <c r="AF27" s="196"/>
      <c r="AG27" s="196"/>
      <c r="AH27" s="196"/>
    </row>
    <row r="28" spans="2:34" ht="15.75" thickBot="1">
      <c r="B28" s="195" t="s">
        <v>142</v>
      </c>
      <c r="C28" s="993" t="s">
        <v>143</v>
      </c>
      <c r="D28" s="993"/>
      <c r="E28" s="993"/>
      <c r="F28" s="993"/>
      <c r="G28" s="993"/>
      <c r="H28" s="993"/>
      <c r="I28" s="993"/>
      <c r="J28" s="993"/>
      <c r="K28" s="993"/>
      <c r="L28" s="993"/>
      <c r="M28" s="993"/>
      <c r="N28" s="993"/>
      <c r="O28" s="993"/>
      <c r="P28" s="993"/>
      <c r="Q28" s="993"/>
      <c r="R28" s="994"/>
      <c r="S28" s="220" t="s">
        <v>130</v>
      </c>
      <c r="T28" s="221">
        <f ca="1" xml:space="preserve"> IF(ISNUMBER(T25),SQRT(SUMSQ($P25*T25,$P26*T26,$P23*T23,$P24*T24)),"")</f>
        <v>2.127869962782592E-3</v>
      </c>
      <c r="U28" s="222">
        <f ca="1" xml:space="preserve"> IF(ISNUMBER(U25),SQRT(SUMSQ($P25*U25,$P26*U26,$P23*U23,$P24*U24)),"")</f>
        <v>2.0752425538919372E-3</v>
      </c>
      <c r="V28" s="222">
        <f ca="1" xml:space="preserve"> IF(ISNUMBER(V25),SQRT(SUMSQ($P25*V25,$P26*V26,$P23*V23,$P24*V24)),"")</f>
        <v>2.0413633327260356E-3</v>
      </c>
      <c r="W28" s="222">
        <f ca="1" xml:space="preserve"> IF(ISNUMBER(W25),SQRT(SUMSQ($P25*W25,$P26*W26,$P23*W23,$P24*W24)),"")</f>
        <v>2.1938074158780285E-3</v>
      </c>
      <c r="X28" s="223">
        <f ca="1" xml:space="preserve"> IF(ISNUMBER(X25),SQRT(SUMSQ($P25*X25,$P26*X26,$P23*X23,$P24*X24)),"")</f>
        <v>2.1938180110402821E-3</v>
      </c>
      <c r="Y28" s="531">
        <f ca="1">IF(Y25="","",IF(T25 = 0, "∞", IF((T28^4)/((T25^4)/Y25) &gt; 1000000, "∞", (T28^4)/((T25^4)/Y25))))</f>
        <v>312.92540176846467</v>
      </c>
      <c r="Z28" s="532">
        <f ca="1">IF(Z25="","",IF(U25 = 0, "∞", IF((U28^4)/((U25^4)/Z25) &gt; 1000000, "∞", (U28^4)/((U25^4)/Z25))))</f>
        <v>1126.7348811694953</v>
      </c>
      <c r="AA28" s="532">
        <f ca="1">IF(AA25="","",IF(V25 = 0, "∞", IF((V28^4)/((V25^4)/AA25) &gt; 1000000, "∞", (V28^4)/((V25^4)/AA25))))</f>
        <v>7501.7914292752057</v>
      </c>
      <c r="AB28" s="532">
        <f ca="1">IF(AB25="","",IF(W25 = 0, "∞", IF((W28^4)/((W25^4)/AB25) &gt; 1000000, "∞", (W28^4)/((W25^4)/AB25))))</f>
        <v>130.69580307513803</v>
      </c>
      <c r="AC28" s="533">
        <f ca="1">IF(AC25="","",IF(V25 = 0, "∞", IF((V28^4)/((V25^4)/AC25) &gt; 1000000, "∞", (V28^4)/((V25^4)/AC25))))</f>
        <v>7501.7914292752057</v>
      </c>
      <c r="AD28" s="218"/>
      <c r="AE28" s="218"/>
      <c r="AF28" s="218"/>
      <c r="AG28" s="218"/>
      <c r="AH28" s="218"/>
    </row>
    <row r="29" spans="2:34" ht="15" customHeight="1">
      <c r="B29" s="205" t="s">
        <v>144</v>
      </c>
      <c r="C29" s="985" t="s">
        <v>145</v>
      </c>
      <c r="D29" s="985"/>
      <c r="E29" s="985"/>
      <c r="F29" s="985"/>
      <c r="G29" s="985"/>
      <c r="H29" s="985"/>
      <c r="I29" s="985"/>
      <c r="J29" s="985"/>
      <c r="K29" s="985"/>
      <c r="L29" s="985"/>
      <c r="M29" s="985"/>
      <c r="N29" s="985"/>
      <c r="O29" s="985"/>
      <c r="P29" s="985"/>
      <c r="Q29" s="985"/>
      <c r="R29" s="986"/>
      <c r="S29" s="224" t="s">
        <v>130</v>
      </c>
      <c r="T29" s="225">
        <f ca="1">IF(ISNUMBER(Y30),T28*Y30,"")</f>
        <v>4.2728625652537862E-3</v>
      </c>
      <c r="U29" s="226">
        <f ca="1">IF(ISNUMBER(Z30),U28*Z30,"")</f>
        <v>4.1551027654654843E-3</v>
      </c>
      <c r="V29" s="226">
        <f ca="1">IF(ISNUMBER(AA30),V28*AA30,"")</f>
        <v>4.0834121313555703E-3</v>
      </c>
      <c r="W29" s="226">
        <f ca="1">IF(ISNUMBER(AB30),W28*AB30,"")</f>
        <v>4.4302093492730853E-3</v>
      </c>
      <c r="X29" s="226">
        <f ca="1">IF(ISNUMBER(AC30),X28*AC30,"")</f>
        <v>4.3883726804798519E-3</v>
      </c>
      <c r="Y29" s="976" t="s">
        <v>146</v>
      </c>
      <c r="Z29" s="977"/>
      <c r="AA29" s="977"/>
      <c r="AB29" s="977"/>
      <c r="AC29" s="978"/>
      <c r="AD29" s="218"/>
      <c r="AE29" s="218"/>
      <c r="AF29" s="218"/>
      <c r="AG29" s="218"/>
      <c r="AH29" s="218"/>
    </row>
    <row r="30" spans="2:34" ht="15.75" thickBot="1">
      <c r="B30" s="211" t="s">
        <v>144</v>
      </c>
      <c r="C30" s="987" t="s">
        <v>147</v>
      </c>
      <c r="D30" s="987"/>
      <c r="E30" s="987"/>
      <c r="F30" s="987"/>
      <c r="G30" s="987"/>
      <c r="H30" s="987"/>
      <c r="I30" s="987"/>
      <c r="J30" s="987"/>
      <c r="K30" s="987"/>
      <c r="L30" s="987"/>
      <c r="M30" s="987"/>
      <c r="N30" s="987"/>
      <c r="O30" s="987"/>
      <c r="P30" s="987"/>
      <c r="Q30" s="987"/>
      <c r="R30" s="988"/>
      <c r="S30" s="227" t="s">
        <v>130</v>
      </c>
      <c r="T30" s="518">
        <f ca="1">IF(ISNUMBER(T29), IF(((T29-ROUNDDOWN(T29,2))/T29)*100 &gt; 5,ROUNDUP(T29,2), ROUNDDOWN(T29,2)),"")</f>
        <v>0.01</v>
      </c>
      <c r="U30" s="518">
        <f ca="1">IF(ISNUMBER(U29), IF(((U29-ROUNDDOWN(U29,2))/U29)*100 &gt; 5,ROUNDUP(U29,2), ROUNDDOWN(U29,2)),"")</f>
        <v>0.01</v>
      </c>
      <c r="V30" s="518">
        <f ca="1">IF(ISNUMBER(V29), IF(((V29-ROUNDDOWN(V29,2))/V29)*100 &gt; 5,ROUNDUP(V29,2), ROUNDDOWN(V29,2)),"")</f>
        <v>0.01</v>
      </c>
      <c r="W30" s="518">
        <f ca="1">IF(ISNUMBER(W29), IF(((W29-ROUNDDOWN(W29,2))/W29)*100 &gt; 5,ROUNDUP(W29,2), ROUNDDOWN(W29,2)),"")</f>
        <v>0.01</v>
      </c>
      <c r="X30" s="518">
        <f ca="1">IF(ISNUMBER(X29), IF(((X29-ROUNDDOWN(X29,2))/X29)*100 &gt; 5,ROUNDUP(X29,2), ROUNDDOWN(X29,2)),"")</f>
        <v>0.01</v>
      </c>
      <c r="Y30" s="480">
        <f ca="1">IF(Y28 ="∞", 2, IF(ISNUMBER(Y28), IF(Y28 &gt; 1000000, 2,_xlfn.T.INV.2T(1-0.9545,Y28))))</f>
        <v>2.008046844961433</v>
      </c>
      <c r="Z30" s="481">
        <f ca="1">IF(Z28 ="∞", 2, IF(ISNUMBER(Z28), IF(Z28 &gt; 1000000, 2,_xlfn.T.INV.2T(1-0.9545,Z28))))</f>
        <v>2.0022251170943606</v>
      </c>
      <c r="AA30" s="481">
        <f ca="1">IF(AA28 ="∞", 2, IF(ISNUMBER(AA28), IF(AA28 &gt; 1000000, 2,_xlfn.T.INV.2T(1-0.9545,AA28))))</f>
        <v>2.0003357882903599</v>
      </c>
      <c r="AB30" s="481">
        <f ca="1">IF(AB28 ="∞", 2, IF(ISNUMBER(AB28), IF(AB28 &gt; 1000000, 2,_xlfn.T.INV.2T(1-0.9545,AB28))))</f>
        <v>2.0194157961217307</v>
      </c>
      <c r="AC30" s="482">
        <f ca="1">IF(AC28 ="∞", 2, IF(ISNUMBER(AC28), IF(AC28 &gt; 1000000, 2,_xlfn.T.INV.2T(1-0.9545,AC28))))</f>
        <v>2.0003357882903599</v>
      </c>
      <c r="AD30" s="218"/>
      <c r="AE30" s="218"/>
      <c r="AF30" s="218"/>
      <c r="AG30" s="218"/>
      <c r="AH30" s="218"/>
    </row>
    <row r="31" spans="2:34" ht="15.75" thickBot="1"/>
    <row r="32" spans="2:34" ht="15.75" thickBot="1">
      <c r="B32" s="478" t="s">
        <v>149</v>
      </c>
      <c r="C32" s="1009" t="s">
        <v>148</v>
      </c>
      <c r="D32" s="1009"/>
      <c r="E32" s="1009"/>
      <c r="F32" s="479" t="s">
        <v>62</v>
      </c>
      <c r="G32" s="477" t="s">
        <v>63</v>
      </c>
      <c r="H32" s="479" t="s">
        <v>116</v>
      </c>
      <c r="I32" s="477" t="str">
        <f>IF($L32 = 0.25, 'Cadastro - Padrões Absorbância'!D$16, IF($L32 = 0.5, 'Cadastro - Padrões Absorbância'!D$15, 'Cadastro - Padrões Absorbância'!D$14))</f>
        <v>44599-1N</v>
      </c>
      <c r="J32" s="1011" t="s">
        <v>314</v>
      </c>
      <c r="K32" s="1011"/>
      <c r="L32" s="718">
        <v>1</v>
      </c>
      <c r="M32" s="1011" t="s">
        <v>162</v>
      </c>
      <c r="N32" s="1011"/>
      <c r="O32" s="253">
        <f>IF($AA32 = 1, VLOOKUP($I32,'Cadastro - Padrões Absorbância'!$D$7:$K$9,4,FALSE), IF($AA32 = 5, VLOOKUP($I32,'Cadastro - Padrões Absorbância'!$D$10:$K$12, 4,FALSE)))</f>
        <v>1.0061</v>
      </c>
      <c r="P32" s="253">
        <f>IF($AA32 = 1, VLOOKUP($I32,'Cadastro - Padrões Absorbância'!$D$7:$K$9,5,FALSE), IF($AA32 = 5, VLOOKUP($I32,'Cadastro - Padrões Absorbância'!$D$10:$K$12, 5,FALSE)))</f>
        <v>0.95569999999999999</v>
      </c>
      <c r="Q32" s="253">
        <f>IF($AA32 = 1, VLOOKUP($I32,'Cadastro - Padrões Absorbância'!$D$7:$K$9,6,FALSE), IF($AA32 = 5, VLOOKUP($I32,'Cadastro - Padrões Absorbância'!$D$10:$K$12, 6,FALSE)))</f>
        <v>1.0014000000000001</v>
      </c>
      <c r="R32" s="253">
        <f>IF($AA32 = 1, VLOOKUP($I32,'Cadastro - Padrões Absorbância'!$D$7:$K$9,7,FALSE), IF($AA32 = 5, VLOOKUP($I32,'Cadastro - Padrões Absorbância'!$D$10:$K$12, 7,FALSE)))</f>
        <v>1.0978000000000001</v>
      </c>
      <c r="S32" s="253">
        <f>IF($AA32 = 1, VLOOKUP($I32,'Cadastro - Padrões Absorbância'!$D$7:$K$9,8,FALSE), IF($AA32 = 5, VLOOKUP($I32,'Cadastro - Padrões Absorbância'!$D$10:$K$12, 8,FALSE)))</f>
        <v>1.0900000000000001</v>
      </c>
      <c r="T32" s="1017" t="s">
        <v>163</v>
      </c>
      <c r="U32" s="1010"/>
      <c r="V32" s="271" t="s">
        <v>176</v>
      </c>
      <c r="W32" s="1010" t="str">
        <f>CONCATENATE(L32, " A", " – ",I32)</f>
        <v>1 A – 44599-1N</v>
      </c>
      <c r="X32" s="1015"/>
      <c r="Y32" s="1016" t="s">
        <v>164</v>
      </c>
      <c r="Z32" s="1011"/>
      <c r="AA32" s="717">
        <f>'Registro Tratado'!$H$44</f>
        <v>1</v>
      </c>
      <c r="AB32" s="1011" t="s">
        <v>307</v>
      </c>
      <c r="AC32" s="1011"/>
      <c r="AD32" s="493">
        <f>VLOOKUP($I32,'Cadastro - Padrões Absorbância'!$D$7:$Q$12,14,FALSE)</f>
        <v>44414</v>
      </c>
      <c r="AE32" s="254"/>
      <c r="AF32" s="254"/>
      <c r="AG32" s="254"/>
      <c r="AH32" s="272"/>
    </row>
    <row r="33" spans="2:34" ht="3.75" customHeight="1" thickBot="1">
      <c r="B33" s="185"/>
      <c r="C33" s="185"/>
      <c r="D33" s="186"/>
      <c r="E33" s="186"/>
      <c r="F33" s="185"/>
      <c r="G33" s="186"/>
      <c r="H33" s="185"/>
      <c r="I33" s="186"/>
      <c r="J33" s="186"/>
      <c r="K33" s="186"/>
      <c r="L33" s="185"/>
      <c r="M33" s="185"/>
      <c r="N33" s="185"/>
      <c r="O33" s="187"/>
      <c r="P33" s="188"/>
      <c r="Q33" s="188"/>
      <c r="R33" s="189"/>
      <c r="S33" s="189"/>
      <c r="AH33" s="270"/>
    </row>
    <row r="34" spans="2:34" ht="15.75" thickBot="1">
      <c r="B34" s="998" t="s">
        <v>117</v>
      </c>
      <c r="C34" s="999"/>
      <c r="D34" s="999"/>
      <c r="E34" s="999"/>
      <c r="F34" s="999"/>
      <c r="G34" s="999"/>
      <c r="H34" s="999"/>
      <c r="I34" s="999"/>
      <c r="J34" s="999"/>
      <c r="K34" s="999"/>
      <c r="L34" s="999"/>
      <c r="M34" s="999"/>
      <c r="N34" s="999"/>
      <c r="O34" s="1000"/>
      <c r="P34" s="995" t="s">
        <v>118</v>
      </c>
      <c r="Q34" s="996"/>
      <c r="R34" s="996"/>
      <c r="S34" s="997"/>
      <c r="T34" s="976" t="s">
        <v>119</v>
      </c>
      <c r="U34" s="977"/>
      <c r="V34" s="977"/>
      <c r="W34" s="977"/>
      <c r="X34" s="978"/>
      <c r="Y34" s="976" t="s">
        <v>120</v>
      </c>
      <c r="Z34" s="977"/>
      <c r="AA34" s="977"/>
      <c r="AB34" s="977"/>
      <c r="AC34" s="978"/>
      <c r="AD34" s="976" t="s">
        <v>121</v>
      </c>
      <c r="AE34" s="977"/>
      <c r="AF34" s="977"/>
      <c r="AG34" s="977"/>
      <c r="AH34" s="978"/>
    </row>
    <row r="35" spans="2:34" ht="15.75" thickBot="1">
      <c r="B35" s="190" t="s">
        <v>122</v>
      </c>
      <c r="C35" s="998" t="s">
        <v>123</v>
      </c>
      <c r="D35" s="999"/>
      <c r="E35" s="999"/>
      <c r="F35" s="1000"/>
      <c r="G35" s="176">
        <v>440</v>
      </c>
      <c r="H35" s="176">
        <v>465</v>
      </c>
      <c r="I35" s="176">
        <v>546.1</v>
      </c>
      <c r="J35" s="176">
        <v>590</v>
      </c>
      <c r="K35" s="177">
        <v>635</v>
      </c>
      <c r="L35" s="476" t="s">
        <v>124</v>
      </c>
      <c r="M35" s="192" t="s">
        <v>125</v>
      </c>
      <c r="N35" s="193" t="s">
        <v>126</v>
      </c>
      <c r="O35" s="192" t="s">
        <v>127</v>
      </c>
      <c r="P35" s="194" t="s">
        <v>128</v>
      </c>
      <c r="Q35" s="1001" t="s">
        <v>124</v>
      </c>
      <c r="R35" s="1002"/>
      <c r="S35" s="1003"/>
      <c r="T35" s="257" t="s">
        <v>166</v>
      </c>
      <c r="U35" s="258" t="s">
        <v>167</v>
      </c>
      <c r="V35" s="258" t="s">
        <v>168</v>
      </c>
      <c r="W35" s="258" t="s">
        <v>169</v>
      </c>
      <c r="X35" s="259" t="s">
        <v>170</v>
      </c>
      <c r="Y35" s="257" t="s">
        <v>166</v>
      </c>
      <c r="Z35" s="258" t="s">
        <v>167</v>
      </c>
      <c r="AA35" s="258" t="s">
        <v>168</v>
      </c>
      <c r="AB35" s="258" t="s">
        <v>169</v>
      </c>
      <c r="AC35" s="259" t="s">
        <v>170</v>
      </c>
      <c r="AD35" s="257" t="s">
        <v>166</v>
      </c>
      <c r="AE35" s="258" t="s">
        <v>167</v>
      </c>
      <c r="AF35" s="258" t="s">
        <v>168</v>
      </c>
      <c r="AG35" s="258" t="s">
        <v>169</v>
      </c>
      <c r="AH35" s="259" t="s">
        <v>170</v>
      </c>
    </row>
    <row r="36" spans="2:34">
      <c r="B36" s="205" t="s">
        <v>139</v>
      </c>
      <c r="C36" s="982" t="s">
        <v>165</v>
      </c>
      <c r="D36" s="992"/>
      <c r="E36" s="992"/>
      <c r="F36" s="984"/>
      <c r="G36" s="513">
        <f>IF($AA32 = 1, VLOOKUP($I32,'Cadastro - Padrões Absorbância'!$D$7:$P$9,9,FALSE), IF($AA32 = 5, VLOOKUP($I32,'Cadastro - Padrões Absorbância'!$D$10:$P$12, 9,FALSE)))</f>
        <v>5.4000000000000003E-3</v>
      </c>
      <c r="H36" s="513">
        <f>IF($AA32 = 1, VLOOKUP($I32,'Cadastro - Padrões Absorbância'!$D$7:$P$9,10,FALSE), IF($AA32 = 5, VLOOKUP($I32,'Cadastro - Padrões Absorbância'!$D$10:$P$12, 10,FALSE)))</f>
        <v>5.4000000000000003E-3</v>
      </c>
      <c r="I36" s="513">
        <f>IF($AA32 = 1, VLOOKUP($I32,'Cadastro - Padrões Absorbância'!$D$7:$P$9,11,FALSE), IF($AA32 = 5, VLOOKUP($I32,'Cadastro - Padrões Absorbância'!$D$10:$P$12, 11,FALSE)))</f>
        <v>5.4000000000000003E-3</v>
      </c>
      <c r="J36" s="513">
        <f>IF($AA32 = 1, VLOOKUP($I32,'Cadastro - Padrões Absorbância'!$D$7:$P$9,12,FALSE), IF($AA32 = 5, VLOOKUP($I32,'Cadastro - Padrões Absorbância'!$D$10:$P$12, 12,FALSE)))</f>
        <v>5.4000000000000003E-3</v>
      </c>
      <c r="K36" s="513">
        <f>IF($AA32 = 1, VLOOKUP($I32,'Cadastro - Padrões Absorbância'!$D$7:$P$9,13,FALSE), IF($AA32 = 5, VLOOKUP($I32,'Cadastro - Padrões Absorbância'!$D$10:$P$12, 13,FALSE)))</f>
        <v>5.4000000000000003E-3</v>
      </c>
      <c r="L36" s="198" t="s">
        <v>59</v>
      </c>
      <c r="M36" s="196" t="s">
        <v>136</v>
      </c>
      <c r="N36" s="196" t="s">
        <v>132</v>
      </c>
      <c r="O36" s="198">
        <v>2</v>
      </c>
      <c r="P36" s="196">
        <v>1</v>
      </c>
      <c r="Q36" s="196" t="s">
        <v>130</v>
      </c>
      <c r="R36" s="196" t="s">
        <v>133</v>
      </c>
      <c r="S36" s="198" t="s">
        <v>130</v>
      </c>
      <c r="T36" s="525">
        <f>IF(ISNUMBER(G36),G36/$O$10,"")</f>
        <v>2.7000000000000001E-3</v>
      </c>
      <c r="U36" s="526">
        <f>IF(ISNUMBER(H36),H36/$O$10,"")</f>
        <v>2.7000000000000001E-3</v>
      </c>
      <c r="V36" s="526">
        <f>IF(ISNUMBER(I36),I36/$O$10,"")</f>
        <v>2.7000000000000001E-3</v>
      </c>
      <c r="W36" s="526">
        <f>IF(ISNUMBER(J36),J36/$O$10,"")</f>
        <v>2.7000000000000001E-3</v>
      </c>
      <c r="X36" s="527">
        <f>IF(ISNUMBER(K36),K36/$O$10,"")</f>
        <v>2.7000000000000001E-3</v>
      </c>
      <c r="Y36" s="207" t="s">
        <v>138</v>
      </c>
      <c r="Z36" s="207" t="s">
        <v>138</v>
      </c>
      <c r="AA36" s="207" t="s">
        <v>138</v>
      </c>
      <c r="AB36" s="207" t="s">
        <v>138</v>
      </c>
      <c r="AC36" s="208" t="s">
        <v>138</v>
      </c>
      <c r="AD36" s="202">
        <f ca="1">IF(ISNUMBER(T36),IF(ISNUMBER(T$41),(T36^2)/(T$41^2),""),"")</f>
        <v>0.98023432840796887</v>
      </c>
      <c r="AE36" s="203">
        <f t="shared" ref="AE36:AH39" ca="1" si="2">IF(ISNUMBER(U36),IF(ISNUMBER(U$41),(U36^2)/(U$41^2),""),"")</f>
        <v>0.95613962784906104</v>
      </c>
      <c r="AF36" s="203">
        <f t="shared" ca="1" si="2"/>
        <v>0.95883234397409067</v>
      </c>
      <c r="AG36" s="203">
        <f t="shared" ca="1" si="2"/>
        <v>0.92587602758013388</v>
      </c>
      <c r="AH36" s="204">
        <f t="shared" ca="1" si="2"/>
        <v>0.96680023053238917</v>
      </c>
    </row>
    <row r="37" spans="2:34">
      <c r="B37" s="268" t="s">
        <v>140</v>
      </c>
      <c r="C37" s="1012" t="s">
        <v>454</v>
      </c>
      <c r="D37" s="1013"/>
      <c r="E37" s="1013"/>
      <c r="F37" s="1014"/>
      <c r="G37" s="517">
        <f ca="1">IF($AD32 = "", G36, ABS((((YEAR(TODAY())-YEAR($AD32))*12 - MONTH($AD32) + MONTH(TODAY())))*VLOOKUP($L$6,'Cadastro - Padrões Absorbância'!$F$41:$P$43,7,FALSE)))</f>
        <v>1.1818181818181779E-4</v>
      </c>
      <c r="H37" s="517">
        <f ca="1">IF($AD32 = "", H36, ABS((((YEAR(TODAY())-YEAR($AD32))*12 - MONTH($AD32) + MONTH(TODAY())))*VLOOKUP($L$6,'Cadastro - Padrões Absorbância'!$F$41:$P$43,8,FALSE)))</f>
        <v>1.1363636363636247E-4</v>
      </c>
      <c r="I37" s="517">
        <f ca="1">IF($AD32 = "", I36, ABS((((YEAR(TODAY())-YEAR($AD32))*12 - MONTH($AD32) + MONTH(TODAY())))*VLOOKUP($L$6,'Cadastro - Padrões Absorbância'!$F$41:$P$43,9,FALSE)))</f>
        <v>7.7272727272726337E-5</v>
      </c>
      <c r="J37" s="517">
        <f ca="1">IF($AD32 = "", J36, ABS((((YEAR(TODAY())-YEAR($AD32))*12 - MONTH($AD32) + MONTH(TODAY())))*VLOOKUP($L$6,'Cadastro - Padrões Absorbância'!$F$41:$P$43,10,FALSE)))</f>
        <v>5.9090909090907626E-5</v>
      </c>
      <c r="K37" s="517">
        <f ca="1">IF($AD32 = "", K36, ABS((((YEAR(TODAY())-YEAR($AD32))*12 - MONTH($AD32) + MONTH(TODAY())))*VLOOKUP($L$6,'Cadastro - Padrões Absorbância'!$F$41:$P$43,11,FALSE)))</f>
        <v>6.3636363636364196E-5</v>
      </c>
      <c r="L37" s="198" t="s">
        <v>59</v>
      </c>
      <c r="M37" s="256" t="s">
        <v>136</v>
      </c>
      <c r="N37" s="256" t="s">
        <v>137</v>
      </c>
      <c r="O37" s="198">
        <f>SQRT(12)</f>
        <v>3.4641016151377544</v>
      </c>
      <c r="P37" s="256">
        <v>1</v>
      </c>
      <c r="Q37" s="256" t="s">
        <v>130</v>
      </c>
      <c r="R37" s="256" t="s">
        <v>133</v>
      </c>
      <c r="S37" s="198" t="s">
        <v>130</v>
      </c>
      <c r="T37" s="206">
        <f ca="1">IF(ISNUMBER(G37),G37/$O$11,"")</f>
        <v>3.4116152270295958E-5</v>
      </c>
      <c r="U37" s="256">
        <f ca="1">IF(ISNUMBER(H37),H37/$O$11,"")</f>
        <v>3.2803992567592039E-5</v>
      </c>
      <c r="V37" s="256">
        <f ca="1">IF(ISNUMBER(I37),I37/$O$11,"")</f>
        <v>2.2306714945962546E-5</v>
      </c>
      <c r="W37" s="256">
        <f ca="1">IF(ISNUMBER(J37),J37/$O$11,"")</f>
        <v>1.7058076135147613E-5</v>
      </c>
      <c r="X37" s="198">
        <f ca="1">IF(ISNUMBER(K37),K37/$O$11,"")</f>
        <v>1.8370235837851891E-5</v>
      </c>
      <c r="Y37" s="269" t="s">
        <v>138</v>
      </c>
      <c r="Z37" s="269" t="s">
        <v>138</v>
      </c>
      <c r="AA37" s="269" t="s">
        <v>138</v>
      </c>
      <c r="AB37" s="269" t="s">
        <v>138</v>
      </c>
      <c r="AC37" s="208" t="s">
        <v>138</v>
      </c>
      <c r="AD37" s="209">
        <f t="shared" ref="AD37:AD39" ca="1" si="3">IF(ISNUMBER(T37),IF(ISNUMBER(T$41),(T37^2)/(T$41^2),""),"")</f>
        <v>1.5650292817904601E-4</v>
      </c>
      <c r="AE37" s="266">
        <f t="shared" ca="1" si="2"/>
        <v>1.4113905313083391E-4</v>
      </c>
      <c r="AF37" s="266">
        <f t="shared" ca="1" si="2"/>
        <v>6.5446493415379365E-5</v>
      </c>
      <c r="AG37" s="266">
        <f t="shared" ca="1" si="2"/>
        <v>3.6956038277706664E-5</v>
      </c>
      <c r="AH37" s="210">
        <f t="shared" ca="1" si="2"/>
        <v>4.4754703125614453E-5</v>
      </c>
    </row>
    <row r="38" spans="2:34">
      <c r="B38" s="267" t="s">
        <v>129</v>
      </c>
      <c r="C38" s="982" t="s">
        <v>175</v>
      </c>
      <c r="D38" s="983"/>
      <c r="E38" s="983"/>
      <c r="F38" s="984"/>
      <c r="G38" s="196">
        <f>'Registro Tratado'!N$396</f>
        <v>2.4999999999997247E-4</v>
      </c>
      <c r="H38" s="196">
        <f>'Registro Tratado'!O$396</f>
        <v>5.0000000000000044E-4</v>
      </c>
      <c r="I38" s="196">
        <f>'Registro Tratado'!P$396</f>
        <v>4.787135538781453E-4</v>
      </c>
      <c r="J38" s="196">
        <f>'Registro Tratado'!Q$396</f>
        <v>7.071067811865744E-4</v>
      </c>
      <c r="K38" s="196">
        <f>'Registro Tratado'!R$396</f>
        <v>4.0824829046386341E-4</v>
      </c>
      <c r="L38" s="198" t="s">
        <v>59</v>
      </c>
      <c r="M38" s="196" t="s">
        <v>131</v>
      </c>
      <c r="N38" s="196" t="s">
        <v>132</v>
      </c>
      <c r="O38" s="198">
        <v>1</v>
      </c>
      <c r="P38" s="196">
        <v>1</v>
      </c>
      <c r="Q38" s="256" t="s">
        <v>130</v>
      </c>
      <c r="R38" s="256" t="s">
        <v>133</v>
      </c>
      <c r="S38" s="198" t="s">
        <v>130</v>
      </c>
      <c r="T38" s="206">
        <f>IF(ISNUMBER(G38),G38/$O$12,"")</f>
        <v>2.4999999999997247E-4</v>
      </c>
      <c r="U38" s="256">
        <f>IF(ISNUMBER(H38),H38/$O$12,"")</f>
        <v>5.0000000000000044E-4</v>
      </c>
      <c r="V38" s="256">
        <f>IF(ISNUMBER(I38),I38/$O$12,"")</f>
        <v>4.787135538781453E-4</v>
      </c>
      <c r="W38" s="256">
        <f>IF(ISNUMBER(J38),J38/$O$12,"")</f>
        <v>7.071067811865744E-4</v>
      </c>
      <c r="X38" s="198">
        <f>IF(ISNUMBER(K38),K38/$O$12,"")</f>
        <v>4.0824829046386341E-4</v>
      </c>
      <c r="Y38" s="201">
        <f>VLOOKUP($I32,'Registro Tratado'!$F$362:$R$400, 9, FALSE) - 1</f>
        <v>3</v>
      </c>
      <c r="Z38" s="201">
        <f>VLOOKUP($I32,'Registro Tratado'!$F$362:$R$400, 10, FALSE) - 1</f>
        <v>3</v>
      </c>
      <c r="AA38" s="201">
        <f>VLOOKUP($I32,'Registro Tratado'!$F$362:$R$400, 11, FALSE) - 1</f>
        <v>3</v>
      </c>
      <c r="AB38" s="201">
        <f>VLOOKUP($I32,'Registro Tratado'!$F$362:$R$400, 12, FALSE) - 1</f>
        <v>3</v>
      </c>
      <c r="AC38" s="201">
        <f>VLOOKUP($I32,'Registro Tratado'!$F$362:$R$400, 13, FALSE) - 1</f>
        <v>3</v>
      </c>
      <c r="AD38" s="209">
        <f t="shared" ca="1" si="3"/>
        <v>8.4039294273641364E-3</v>
      </c>
      <c r="AE38" s="266">
        <f t="shared" ca="1" si="2"/>
        <v>3.2789424823356061E-2</v>
      </c>
      <c r="AF38" s="266">
        <f t="shared" ca="1" si="2"/>
        <v>3.014162032382816E-2</v>
      </c>
      <c r="AG38" s="266">
        <f t="shared" ca="1" si="2"/>
        <v>6.3503156898505081E-2</v>
      </c>
      <c r="AH38" s="210">
        <f t="shared" ca="1" si="2"/>
        <v>2.2103343176323526E-2</v>
      </c>
    </row>
    <row r="39" spans="2:34" ht="15.75" thickBot="1">
      <c r="B39" s="205" t="s">
        <v>134</v>
      </c>
      <c r="C39" s="973" t="s">
        <v>135</v>
      </c>
      <c r="D39" s="974"/>
      <c r="E39" s="974"/>
      <c r="F39" s="975"/>
      <c r="G39" s="213">
        <f>IF(ISNUMBER('Registro Original'!$G$46),'Registro Original'!$G$46,"")</f>
        <v>1E-3</v>
      </c>
      <c r="H39" s="213">
        <f>IF(ISNUMBER('Registro Original'!$G$46),'Registro Original'!$G$46,"")</f>
        <v>1E-3</v>
      </c>
      <c r="I39" s="213">
        <f>IF(ISNUMBER('Registro Original'!$G$46),'Registro Original'!$G$46,"")</f>
        <v>1E-3</v>
      </c>
      <c r="J39" s="213">
        <f>IF(ISNUMBER('Registro Original'!$G$46),'Registro Original'!$G$46,"")</f>
        <v>1E-3</v>
      </c>
      <c r="K39" s="213">
        <f>IF(ISNUMBER('Registro Original'!$G$46),'Registro Original'!$G$46,"")</f>
        <v>1E-3</v>
      </c>
      <c r="L39" s="212" t="s">
        <v>59</v>
      </c>
      <c r="M39" s="213" t="s">
        <v>136</v>
      </c>
      <c r="N39" s="213" t="s">
        <v>137</v>
      </c>
      <c r="O39" s="212">
        <f>SQRT(12)</f>
        <v>3.4641016151377544</v>
      </c>
      <c r="P39" s="213">
        <v>1</v>
      </c>
      <c r="Q39" s="213" t="s">
        <v>130</v>
      </c>
      <c r="R39" s="213" t="s">
        <v>133</v>
      </c>
      <c r="S39" s="212" t="s">
        <v>130</v>
      </c>
      <c r="T39" s="214">
        <f>IF(ISNUMBER(G39),G39/$O$13,"")</f>
        <v>2.886751345948129E-4</v>
      </c>
      <c r="U39" s="213">
        <f>IF(ISNUMBER(H39),H39/$O$13,"")</f>
        <v>2.886751345948129E-4</v>
      </c>
      <c r="V39" s="213">
        <f>IF(ISNUMBER(I39),I39/$O$13,"")</f>
        <v>2.886751345948129E-4</v>
      </c>
      <c r="W39" s="213">
        <f>IF(ISNUMBER(J39),J39/$O$13,"")</f>
        <v>2.886751345948129E-4</v>
      </c>
      <c r="X39" s="212">
        <f>IF(ISNUMBER(K39),K39/$O$13,"")</f>
        <v>2.886751345948129E-4</v>
      </c>
      <c r="Y39" s="207" t="s">
        <v>138</v>
      </c>
      <c r="Z39" s="207" t="s">
        <v>138</v>
      </c>
      <c r="AA39" s="207" t="s">
        <v>138</v>
      </c>
      <c r="AB39" s="207" t="s">
        <v>138</v>
      </c>
      <c r="AC39" s="208" t="s">
        <v>138</v>
      </c>
      <c r="AD39" s="215">
        <f t="shared" ca="1" si="3"/>
        <v>1.1205239236487984E-2</v>
      </c>
      <c r="AE39" s="216">
        <f t="shared" ca="1" si="2"/>
        <v>1.0929808274452E-2</v>
      </c>
      <c r="AF39" s="216">
        <f t="shared" ca="1" si="2"/>
        <v>1.0960589208665874E-2</v>
      </c>
      <c r="AG39" s="216">
        <f t="shared" ca="1" si="2"/>
        <v>1.0583859483083378E-2</v>
      </c>
      <c r="AH39" s="217">
        <f t="shared" ca="1" si="2"/>
        <v>1.1051671588161742E-2</v>
      </c>
    </row>
    <row r="40" spans="2:34" ht="15.75" thickBot="1">
      <c r="B40" s="218"/>
      <c r="C40" s="219"/>
      <c r="D40" s="219"/>
      <c r="E40" s="219"/>
      <c r="F40" s="219"/>
      <c r="G40" s="196"/>
      <c r="H40" s="196"/>
      <c r="I40" s="196"/>
      <c r="J40" s="196"/>
      <c r="K40" s="196"/>
      <c r="L40" s="196"/>
      <c r="M40" s="196"/>
      <c r="N40" s="196"/>
      <c r="O40" s="196"/>
      <c r="P40" s="196"/>
      <c r="Q40" s="196"/>
      <c r="R40" s="196"/>
      <c r="S40" s="196"/>
      <c r="T40" s="196"/>
      <c r="U40" s="196"/>
      <c r="V40" s="196"/>
      <c r="W40" s="196"/>
      <c r="X40" s="196"/>
      <c r="Y40" s="976" t="s">
        <v>141</v>
      </c>
      <c r="Z40" s="977"/>
      <c r="AA40" s="977"/>
      <c r="AB40" s="977"/>
      <c r="AC40" s="978"/>
      <c r="AD40" s="196"/>
      <c r="AE40" s="196"/>
      <c r="AF40" s="196"/>
      <c r="AG40" s="196"/>
      <c r="AH40" s="196"/>
    </row>
    <row r="41" spans="2:34" ht="15.75" thickBot="1">
      <c r="B41" s="195" t="s">
        <v>142</v>
      </c>
      <c r="C41" s="993" t="s">
        <v>143</v>
      </c>
      <c r="D41" s="993"/>
      <c r="E41" s="993"/>
      <c r="F41" s="993"/>
      <c r="G41" s="993"/>
      <c r="H41" s="993"/>
      <c r="I41" s="993"/>
      <c r="J41" s="993"/>
      <c r="K41" s="993"/>
      <c r="L41" s="993"/>
      <c r="M41" s="993"/>
      <c r="N41" s="993"/>
      <c r="O41" s="993"/>
      <c r="P41" s="993"/>
      <c r="Q41" s="993"/>
      <c r="R41" s="994"/>
      <c r="S41" s="220" t="s">
        <v>130</v>
      </c>
      <c r="T41" s="221">
        <f ca="1" xml:space="preserve"> IF(ISNUMBER(T38),SQRT(SUMSQ($P38*T38,$P39*T39,$P36*T36,$P37*T37)),"")</f>
        <v>2.7270858521834347E-3</v>
      </c>
      <c r="U41" s="222">
        <f ca="1" xml:space="preserve"> IF(ISNUMBER(U38),SQRT(SUMSQ($P38*U38,$P39*U39,$P36*U36,$P37*U37)),"")</f>
        <v>2.7612333177878521E-3</v>
      </c>
      <c r="V41" s="222">
        <f ca="1" xml:space="preserve"> IF(ISNUMBER(V38),SQRT(SUMSQ($P38*V38,$P39*V39,$P36*V36,$P37*V37)),"")</f>
        <v>2.7573533668232763E-3</v>
      </c>
      <c r="W41" s="222">
        <f ca="1" xml:space="preserve"> IF(ISNUMBER(W38),SQRT(SUMSQ($P38*W38,$P39*W39,$P36*W36,$P37*W37)),"")</f>
        <v>2.8059979171935969E-3</v>
      </c>
      <c r="X41" s="223">
        <f ca="1" xml:space="preserve"> IF(ISNUMBER(X38),SQRT(SUMSQ($P38*X38,$P39*X39,$P36*X36,$P37*X37)),"")</f>
        <v>2.7459674917166698E-3</v>
      </c>
      <c r="Y41" s="531">
        <f ca="1">IF(Y38="","",IF(T38 = 0, "∞", IF((T41^4)/((T38^4)/Y38) &gt; 1000000, "∞", (T41^4)/((T38^4)/Y38))))</f>
        <v>42477.256723065708</v>
      </c>
      <c r="Z41" s="532">
        <f ca="1">IF(Z38="","",IF(U38 = 0, "∞", IF((U41^4)/((U38^4)/Z38) &gt; 1000000, "∞", (U41^4)/((U38^4)/Z38))))</f>
        <v>2790.3177233523629</v>
      </c>
      <c r="AA41" s="532">
        <f ca="1">IF(AA38="","",IF(V38 = 0, "∞", IF((V41^4)/((V38^4)/AA38) &gt; 1000000, "∞", (V41^4)/((V38^4)/AA38))))</f>
        <v>3302.0836037897798</v>
      </c>
      <c r="AB41" s="532">
        <f ca="1">IF(AB38="","",IF(W38 = 0, "∞", IF((W41^4)/((W38^4)/AB38) &gt; 1000000, "∞", (W41^4)/((W38^4)/AB38))))</f>
        <v>743.92751754483777</v>
      </c>
      <c r="AC41" s="533">
        <f ca="1">IF(AC38="","",IF(V38 = 0, "∞", IF((V41^4)/((V38^4)/AC38) &gt; 1000000, "∞", (V41^4)/((V38^4)/AC38))))</f>
        <v>3302.0836037897798</v>
      </c>
      <c r="AD41" s="218"/>
      <c r="AE41" s="218"/>
      <c r="AF41" s="218"/>
      <c r="AG41" s="218"/>
      <c r="AH41" s="218"/>
    </row>
    <row r="42" spans="2:34">
      <c r="B42" s="205" t="s">
        <v>144</v>
      </c>
      <c r="C42" s="985" t="s">
        <v>145</v>
      </c>
      <c r="D42" s="985"/>
      <c r="E42" s="985"/>
      <c r="F42" s="985"/>
      <c r="G42" s="985"/>
      <c r="H42" s="985"/>
      <c r="I42" s="985"/>
      <c r="J42" s="985"/>
      <c r="K42" s="985"/>
      <c r="L42" s="985"/>
      <c r="M42" s="985"/>
      <c r="N42" s="985"/>
      <c r="O42" s="985"/>
      <c r="P42" s="985"/>
      <c r="Q42" s="985"/>
      <c r="R42" s="986"/>
      <c r="S42" s="224" t="s">
        <v>130</v>
      </c>
      <c r="T42" s="225">
        <f ca="1">IF(ISNUMBER(Y43),T41*Y43,"")</f>
        <v>5.4543388779049453E-3</v>
      </c>
      <c r="U42" s="226">
        <f ca="1">IF(ISNUMBER(Z43),U41*Z43,"")</f>
        <v>5.5249487017378918E-3</v>
      </c>
      <c r="V42" s="226">
        <f ca="1">IF(ISNUMBER(AA43),V41*AA43,"")</f>
        <v>5.5168018925144573E-3</v>
      </c>
      <c r="W42" s="226">
        <f ca="1">IF(ISNUMBER(AB43),W41*AB43,"")</f>
        <v>5.6214597544892459E-3</v>
      </c>
      <c r="X42" s="226">
        <f ca="1">IF(ISNUMBER(AC43),X41*AC43,"")</f>
        <v>5.4940214908104756E-3</v>
      </c>
      <c r="Y42" s="976" t="s">
        <v>146</v>
      </c>
      <c r="Z42" s="977"/>
      <c r="AA42" s="977"/>
      <c r="AB42" s="977"/>
      <c r="AC42" s="978"/>
      <c r="AD42" s="218"/>
      <c r="AE42" s="218"/>
      <c r="AF42" s="218"/>
      <c r="AG42" s="218"/>
      <c r="AH42" s="218"/>
    </row>
    <row r="43" spans="2:34" ht="15.75" thickBot="1">
      <c r="B43" s="211" t="s">
        <v>144</v>
      </c>
      <c r="C43" s="987" t="s">
        <v>147</v>
      </c>
      <c r="D43" s="987"/>
      <c r="E43" s="987"/>
      <c r="F43" s="987"/>
      <c r="G43" s="987"/>
      <c r="H43" s="987"/>
      <c r="I43" s="987"/>
      <c r="J43" s="987"/>
      <c r="K43" s="987"/>
      <c r="L43" s="987"/>
      <c r="M43" s="987"/>
      <c r="N43" s="987"/>
      <c r="O43" s="987"/>
      <c r="P43" s="987"/>
      <c r="Q43" s="987"/>
      <c r="R43" s="988"/>
      <c r="S43" s="227" t="s">
        <v>130</v>
      </c>
      <c r="T43" s="518">
        <f ca="1">IF(ISNUMBER(T42), IF(((T42-ROUNDDOWN(T42,2))/T42)*100 &gt; 5,ROUNDUP(T42,2), ROUNDDOWN(T42,2)),"")</f>
        <v>0.01</v>
      </c>
      <c r="U43" s="518">
        <f ca="1">IF(ISNUMBER(U42), IF(((U42-ROUNDDOWN(U42,2))/U42)*100 &gt; 5,ROUNDUP(U42,2), ROUNDDOWN(U42,2)),"")</f>
        <v>0.01</v>
      </c>
      <c r="V43" s="518">
        <f ca="1">IF(ISNUMBER(V42), IF(((V42-ROUNDDOWN(V42,2))/V42)*100 &gt; 5,ROUNDUP(V42,2), ROUNDDOWN(V42,2)),"")</f>
        <v>0.01</v>
      </c>
      <c r="W43" s="518">
        <f ca="1">IF(ISNUMBER(W42), IF(((W42-ROUNDDOWN(W42,2))/W42)*100 &gt; 5,ROUNDUP(W42,2), ROUNDDOWN(W42,2)),"")</f>
        <v>0.01</v>
      </c>
      <c r="X43" s="518">
        <f ca="1">IF(ISNUMBER(X42), IF(((X42-ROUNDDOWN(X42,2))/X42)*100 &gt; 5,ROUNDUP(X42,2), ROUNDDOWN(X42,2)),"")</f>
        <v>0.01</v>
      </c>
      <c r="Y43" s="480">
        <f ca="1">IF(Y41 ="∞", 2, IF(ISNUMBER(Y41), IF(Y41 &gt; 1000000, 2,_xlfn.T.INV.2T(1-0.9545,Y41))))</f>
        <v>2.00006130116437</v>
      </c>
      <c r="Z43" s="481">
        <f ca="1">IF(Z41 ="∞", 2, IF(ISNUMBER(Z41), IF(Z41 &gt; 1000000, 2,_xlfn.T.INV.2T(1-0.9545,Z41))))</f>
        <v>2.0008988976578683</v>
      </c>
      <c r="AA43" s="481">
        <f ca="1">IF(AA41 ="∞", 2, IF(ISNUMBER(AA41), IF(AA41 &gt; 1000000, 2,_xlfn.T.INV.2T(1-0.9545,AA41))))</f>
        <v>2.0007598441654646</v>
      </c>
      <c r="AB43" s="481">
        <f ca="1">IF(AB41 ="∞", 2, IF(ISNUMBER(AB41), IF(AB41 &gt; 1000000, 2,_xlfn.T.INV.2T(1-0.9545,AB41))))</f>
        <v>2.0033727466595974</v>
      </c>
      <c r="AC43" s="482">
        <f ca="1">IF(AC41 ="∞", 2, IF(ISNUMBER(AC41), IF(AC41 &gt; 1000000, 2,_xlfn.T.INV.2T(1-0.9545,AC41))))</f>
        <v>2.0007598441654646</v>
      </c>
      <c r="AD43" s="218"/>
      <c r="AE43" s="218"/>
      <c r="AF43" s="218"/>
      <c r="AG43" s="218"/>
      <c r="AH43" s="218"/>
    </row>
    <row r="46" spans="2:34">
      <c r="B46" s="1018" t="s">
        <v>432</v>
      </c>
      <c r="C46" s="1018"/>
      <c r="D46" s="1018"/>
      <c r="E46" s="1018"/>
      <c r="F46" s="1018"/>
      <c r="G46" s="1018"/>
      <c r="H46" s="1018"/>
      <c r="I46" s="1018"/>
      <c r="J46" s="1018"/>
      <c r="K46" s="1018"/>
      <c r="L46" s="1018"/>
      <c r="M46" s="1018"/>
      <c r="N46" s="1018"/>
      <c r="O46" s="1018"/>
      <c r="P46" s="1018"/>
      <c r="Q46" s="1018"/>
      <c r="R46" s="1018"/>
      <c r="S46" s="1018"/>
      <c r="T46" s="1018"/>
      <c r="U46" s="1018"/>
      <c r="V46" s="1018"/>
      <c r="W46" s="1018"/>
      <c r="X46" s="1018"/>
      <c r="Y46" s="1018"/>
      <c r="Z46" s="1018"/>
      <c r="AA46" s="1018"/>
      <c r="AB46" s="1018"/>
      <c r="AC46" s="1018"/>
      <c r="AD46" s="1018"/>
      <c r="AE46" s="1018"/>
      <c r="AF46" s="1018"/>
      <c r="AG46" s="1018"/>
      <c r="AH46" s="1018"/>
    </row>
    <row r="47" spans="2:34" ht="15.75" thickBot="1"/>
    <row r="48" spans="2:34" ht="15.75" thickBot="1">
      <c r="B48" s="478" t="s">
        <v>149</v>
      </c>
      <c r="C48" s="1009" t="s">
        <v>148</v>
      </c>
      <c r="D48" s="1009"/>
      <c r="E48" s="1009"/>
      <c r="F48" s="479" t="s">
        <v>62</v>
      </c>
      <c r="G48" s="477" t="s">
        <v>63</v>
      </c>
      <c r="H48" s="479" t="s">
        <v>116</v>
      </c>
      <c r="I48" s="477" t="str">
        <f>IF($L48 = 0.25, 'Cadastro - Padrões Absorbância'!D$16, IF($L48 = 0.5, 'Cadastro - Padrões Absorbância'!D$15, 'Cadastro - Padrões Absorbância'!D$14))</f>
        <v>44599-1N</v>
      </c>
      <c r="J48" s="1011" t="s">
        <v>314</v>
      </c>
      <c r="K48" s="1011"/>
      <c r="L48" s="512">
        <v>1</v>
      </c>
      <c r="M48" s="1011" t="s">
        <v>162</v>
      </c>
      <c r="N48" s="1011"/>
      <c r="O48" s="253">
        <f>IF($AA48 = 1, VLOOKUP($I48,'Cadastro - Padrões Absorbância'!$D$7:$K$9,4,FALSE), IF($AA48 = 5, VLOOKUP($I48,'Cadastro - Padrões Absorbância'!$D$10:$K$12, 4,FALSE)))</f>
        <v>1.0047999999999999</v>
      </c>
      <c r="P48" s="253">
        <f>IF($AA48 = 1, VLOOKUP($I48,'Cadastro - Padrões Absorbância'!$D$7:$K$9,5,FALSE), IF($AA48 = 5, VLOOKUP($I48,'Cadastro - Padrões Absorbância'!$D$10:$K$12, 5,FALSE)))</f>
        <v>0.95620000000000005</v>
      </c>
      <c r="Q48" s="253">
        <f>IF($AA48 = 1, VLOOKUP($I48,'Cadastro - Padrões Absorbância'!$D$7:$K$9,6,FALSE), IF($AA48 = 5, VLOOKUP($I48,'Cadastro - Padrões Absorbância'!$D$10:$K$12, 6,FALSE)))</f>
        <v>1.0018</v>
      </c>
      <c r="R48" s="253">
        <f>IF($AA48 = 1, VLOOKUP($I48,'Cadastro - Padrões Absorbância'!$D$7:$K$9,7,FALSE), IF($AA48 = 5, VLOOKUP($I48,'Cadastro - Padrões Absorbância'!$D$10:$K$12, 7,FALSE)))</f>
        <v>1.0980000000000001</v>
      </c>
      <c r="S48" s="253">
        <f>IF($AA48 = 1, VLOOKUP($I48,'Cadastro - Padrões Absorbância'!$D$7:$K$9,8,FALSE), IF($AA48 = 5, VLOOKUP($I48,'Cadastro - Padrões Absorbância'!$D$10:$K$12, 8,FALSE)))</f>
        <v>1.0907</v>
      </c>
      <c r="T48" s="1017" t="str">
        <f xml:space="preserve"> CONCATENATE("Densidade neutra ", L48, " A")</f>
        <v>Densidade neutra 1 A</v>
      </c>
      <c r="U48" s="1010"/>
      <c r="V48" s="271" t="s">
        <v>176</v>
      </c>
      <c r="W48" s="1010" t="str">
        <f>CONCATENATE(L48, " A", " – ",I48)</f>
        <v>1 A – 44599-1N</v>
      </c>
      <c r="X48" s="1015"/>
      <c r="Y48" s="1016" t="s">
        <v>164</v>
      </c>
      <c r="Z48" s="1011"/>
      <c r="AA48" s="491">
        <v>5</v>
      </c>
      <c r="AB48" s="1011" t="s">
        <v>307</v>
      </c>
      <c r="AC48" s="1011"/>
      <c r="AD48" s="493">
        <f>VLOOKUP($I48,'Cadastro - Padrões Absorbância'!$D$7:$Q$12,14,FALSE)</f>
        <v>44414</v>
      </c>
      <c r="AE48" s="254"/>
      <c r="AF48" s="254"/>
      <c r="AG48" s="254"/>
      <c r="AH48" s="272"/>
    </row>
    <row r="49" spans="2:34" ht="3.75" customHeight="1" thickBot="1">
      <c r="B49" s="185"/>
      <c r="C49" s="185"/>
      <c r="D49" s="186"/>
      <c r="E49" s="186"/>
      <c r="F49" s="185"/>
      <c r="G49" s="186"/>
      <c r="H49" s="185"/>
      <c r="I49" s="186"/>
      <c r="J49" s="186"/>
      <c r="K49" s="186"/>
      <c r="L49" s="185"/>
      <c r="M49" s="185"/>
      <c r="N49" s="185"/>
      <c r="O49" s="187"/>
      <c r="P49" s="188"/>
      <c r="Q49" s="188"/>
      <c r="R49" s="189"/>
      <c r="S49" s="189"/>
      <c r="AH49" s="270"/>
    </row>
    <row r="50" spans="2:34" ht="15.75" thickBot="1">
      <c r="B50" s="998" t="s">
        <v>117</v>
      </c>
      <c r="C50" s="999"/>
      <c r="D50" s="999"/>
      <c r="E50" s="999"/>
      <c r="F50" s="999"/>
      <c r="G50" s="999"/>
      <c r="H50" s="999"/>
      <c r="I50" s="999"/>
      <c r="J50" s="999"/>
      <c r="K50" s="999"/>
      <c r="L50" s="999"/>
      <c r="M50" s="999"/>
      <c r="N50" s="999"/>
      <c r="O50" s="1000"/>
      <c r="P50" s="995" t="s">
        <v>118</v>
      </c>
      <c r="Q50" s="996"/>
      <c r="R50" s="996"/>
      <c r="S50" s="997"/>
      <c r="T50" s="976" t="s">
        <v>119</v>
      </c>
      <c r="U50" s="977"/>
      <c r="V50" s="977"/>
      <c r="W50" s="977"/>
      <c r="X50" s="978"/>
      <c r="Y50" s="976" t="s">
        <v>120</v>
      </c>
      <c r="Z50" s="977"/>
      <c r="AA50" s="977"/>
      <c r="AB50" s="977"/>
      <c r="AC50" s="978"/>
      <c r="AD50" s="976" t="s">
        <v>121</v>
      </c>
      <c r="AE50" s="977"/>
      <c r="AF50" s="977"/>
      <c r="AG50" s="977"/>
      <c r="AH50" s="978"/>
    </row>
    <row r="51" spans="2:34" ht="15.75" thickBot="1">
      <c r="B51" s="190" t="s">
        <v>122</v>
      </c>
      <c r="C51" s="998" t="s">
        <v>123</v>
      </c>
      <c r="D51" s="999"/>
      <c r="E51" s="999"/>
      <c r="F51" s="1000"/>
      <c r="G51" s="176">
        <v>440</v>
      </c>
      <c r="H51" s="176">
        <v>465</v>
      </c>
      <c r="I51" s="176">
        <v>546.1</v>
      </c>
      <c r="J51" s="176">
        <v>590</v>
      </c>
      <c r="K51" s="177">
        <v>635</v>
      </c>
      <c r="L51" s="476" t="s">
        <v>124</v>
      </c>
      <c r="M51" s="192" t="s">
        <v>125</v>
      </c>
      <c r="N51" s="193" t="s">
        <v>126</v>
      </c>
      <c r="O51" s="192" t="s">
        <v>127</v>
      </c>
      <c r="P51" s="194" t="s">
        <v>128</v>
      </c>
      <c r="Q51" s="1001" t="s">
        <v>124</v>
      </c>
      <c r="R51" s="1002"/>
      <c r="S51" s="1003"/>
      <c r="T51" s="257" t="s">
        <v>166</v>
      </c>
      <c r="U51" s="258" t="s">
        <v>167</v>
      </c>
      <c r="V51" s="258" t="s">
        <v>168</v>
      </c>
      <c r="W51" s="258" t="s">
        <v>169</v>
      </c>
      <c r="X51" s="259" t="s">
        <v>170</v>
      </c>
      <c r="Y51" s="257" t="s">
        <v>166</v>
      </c>
      <c r="Z51" s="258" t="s">
        <v>167</v>
      </c>
      <c r="AA51" s="258" t="s">
        <v>168</v>
      </c>
      <c r="AB51" s="258" t="s">
        <v>169</v>
      </c>
      <c r="AC51" s="259" t="s">
        <v>170</v>
      </c>
      <c r="AD51" s="257" t="s">
        <v>166</v>
      </c>
      <c r="AE51" s="258" t="s">
        <v>167</v>
      </c>
      <c r="AF51" s="258" t="s">
        <v>168</v>
      </c>
      <c r="AG51" s="258" t="s">
        <v>169</v>
      </c>
      <c r="AH51" s="259" t="s">
        <v>170</v>
      </c>
    </row>
    <row r="52" spans="2:34">
      <c r="B52" s="205" t="s">
        <v>139</v>
      </c>
      <c r="C52" s="982" t="s">
        <v>165</v>
      </c>
      <c r="D52" s="992"/>
      <c r="E52" s="992"/>
      <c r="F52" s="984"/>
      <c r="G52" s="513">
        <f>IF($AA48 = 1, VLOOKUP($I48,'Cadastro - Padrões Absorbância'!$D$7:$P$9,9,FALSE), IF($AA48 = 5, VLOOKUP($I48,'Cadastro - Padrões Absorbância'!$D$10:$P$12, 9,FALSE)))</f>
        <v>5.3E-3</v>
      </c>
      <c r="H52" s="513">
        <f>IF($AA48 = 1, VLOOKUP($I48,'Cadastro - Padrões Absorbância'!$D$7:$P$9,10,FALSE), IF($AA48 = 5, VLOOKUP($I48,'Cadastro - Padrões Absorbância'!$D$10:$P$12, 10,FALSE)))</f>
        <v>5.3E-3</v>
      </c>
      <c r="I52" s="513">
        <f>IF($AA48 = 1, VLOOKUP($I48,'Cadastro - Padrões Absorbância'!$D$7:$P$9,11,FALSE), IF($AA48 = 5, VLOOKUP($I48,'Cadastro - Padrões Absorbância'!$D$10:$P$12, 11,FALSE)))</f>
        <v>5.3E-3</v>
      </c>
      <c r="J52" s="513">
        <f>IF($AA48 = 1, VLOOKUP($I48,'Cadastro - Padrões Absorbância'!$D$7:$P$9,12,FALSE), IF($AA48 = 5, VLOOKUP($I48,'Cadastro - Padrões Absorbância'!$D$10:$P$12, 12,FALSE)))</f>
        <v>5.3E-3</v>
      </c>
      <c r="K52" s="513">
        <f>IF($AA48 = 1, VLOOKUP($I48,'Cadastro - Padrões Absorbância'!$D$7:$P$9,13,FALSE), IF($AA48 = 5, VLOOKUP($I48,'Cadastro - Padrões Absorbância'!$D$10:$P$12, 13,FALSE)))</f>
        <v>5.3E-3</v>
      </c>
      <c r="L52" s="198" t="s">
        <v>59</v>
      </c>
      <c r="M52" s="196" t="s">
        <v>136</v>
      </c>
      <c r="N52" s="196" t="s">
        <v>132</v>
      </c>
      <c r="O52" s="198">
        <v>2</v>
      </c>
      <c r="P52" s="196">
        <v>1</v>
      </c>
      <c r="Q52" s="196" t="s">
        <v>130</v>
      </c>
      <c r="R52" s="196" t="s">
        <v>133</v>
      </c>
      <c r="S52" s="198" t="s">
        <v>130</v>
      </c>
      <c r="T52" s="525">
        <f>IF(ISNUMBER(G52),G52/$O$10,"")</f>
        <v>2.65E-3</v>
      </c>
      <c r="U52" s="526">
        <f>IF(ISNUMBER(H52),H52/$O$10,"")</f>
        <v>2.65E-3</v>
      </c>
      <c r="V52" s="526">
        <f>IF(ISNUMBER(I52),I52/$O$10,"")</f>
        <v>2.65E-3</v>
      </c>
      <c r="W52" s="526">
        <f>IF(ISNUMBER(J52),J52/$O$10,"")</f>
        <v>2.65E-3</v>
      </c>
      <c r="X52" s="527">
        <f>IF(ISNUMBER(K52),K52/$O$10,"")</f>
        <v>2.65E-3</v>
      </c>
      <c r="Y52" s="207" t="s">
        <v>138</v>
      </c>
      <c r="Z52" s="207" t="s">
        <v>138</v>
      </c>
      <c r="AA52" s="207" t="s">
        <v>138</v>
      </c>
      <c r="AB52" s="207" t="s">
        <v>138</v>
      </c>
      <c r="AC52" s="208" t="s">
        <v>138</v>
      </c>
      <c r="AD52" s="202">
        <f ca="1">IF(ISNUMBER(T52),IF(ISNUMBER(T$57),(T52^2)/(T$57^2),""),"")</f>
        <v>0.97949685450009849</v>
      </c>
      <c r="AE52" s="203">
        <f t="shared" ref="AE52:AH52" ca="1" si="4">IF(ISNUMBER(U52),IF(ISNUMBER(U$57),(U52^2)/(U$57^2),""),"")</f>
        <v>0.95454484818599461</v>
      </c>
      <c r="AF52" s="203">
        <f t="shared" ca="1" si="4"/>
        <v>0.95733110321263948</v>
      </c>
      <c r="AG52" s="203">
        <f t="shared" ca="1" si="4"/>
        <v>0.92326915950766875</v>
      </c>
      <c r="AH52" s="204">
        <f t="shared" ca="1" si="4"/>
        <v>0.96557912001333324</v>
      </c>
    </row>
    <row r="53" spans="2:34">
      <c r="B53" s="268" t="s">
        <v>140</v>
      </c>
      <c r="C53" s="1012" t="s">
        <v>454</v>
      </c>
      <c r="D53" s="1013"/>
      <c r="E53" s="1013"/>
      <c r="F53" s="1014"/>
      <c r="G53" s="517">
        <f ca="1">IF($AD48 = "", G52, ABS((((YEAR(TODAY())-YEAR($AD48))*12 - MONTH($AD48) + MONTH(TODAY())))*VLOOKUP($L$6,'Cadastro - Padrões Absorbância'!$F$41:$P$43,7,FALSE)))</f>
        <v>1.1818181818181779E-4</v>
      </c>
      <c r="H53" s="517">
        <f ca="1">IF($AD48 = "", H52, ABS((((YEAR(TODAY())-YEAR($AD48))*12 - MONTH($AD48) + MONTH(TODAY())))*VLOOKUP($L$6,'Cadastro - Padrões Absorbância'!$F$41:$P$43,8,FALSE)))</f>
        <v>1.1363636363636247E-4</v>
      </c>
      <c r="I53" s="517">
        <f ca="1">IF($AD48 = "", I52, ABS((((YEAR(TODAY())-YEAR($AD48))*12 - MONTH($AD48) + MONTH(TODAY())))*VLOOKUP($L$6,'Cadastro - Padrões Absorbância'!$F$41:$P$43,9,FALSE)))</f>
        <v>7.7272727272726337E-5</v>
      </c>
      <c r="J53" s="517">
        <f ca="1">IF($AD48 = "", J52, ABS((((YEAR(TODAY())-YEAR($AD48))*12 - MONTH($AD48) + MONTH(TODAY())))*VLOOKUP($L$6,'Cadastro - Padrões Absorbância'!$F$41:$P$43,10,FALSE)))</f>
        <v>5.9090909090907626E-5</v>
      </c>
      <c r="K53" s="517">
        <f ca="1">IF($AD48 = "", K52, ABS((((YEAR(TODAY())-YEAR($AD48))*12 - MONTH($AD48) + MONTH(TODAY())))*VLOOKUP($L$6,'Cadastro - Padrões Absorbância'!$F$41:$P$43,11,FALSE)))</f>
        <v>6.3636363636364196E-5</v>
      </c>
      <c r="L53" s="198" t="s">
        <v>59</v>
      </c>
      <c r="M53" s="256" t="s">
        <v>136</v>
      </c>
      <c r="N53" s="256" t="s">
        <v>137</v>
      </c>
      <c r="O53" s="198">
        <f>SQRT(12)</f>
        <v>3.4641016151377544</v>
      </c>
      <c r="P53" s="256">
        <v>1</v>
      </c>
      <c r="Q53" s="256" t="s">
        <v>130</v>
      </c>
      <c r="R53" s="256" t="s">
        <v>133</v>
      </c>
      <c r="S53" s="198" t="s">
        <v>130</v>
      </c>
      <c r="T53" s="206">
        <f ca="1">IF(ISNUMBER(G53),G53/$O$11,"")</f>
        <v>3.4116152270295958E-5</v>
      </c>
      <c r="U53" s="256">
        <f ca="1">IF(ISNUMBER(H53),H53/$O$11,"")</f>
        <v>3.2803992567592039E-5</v>
      </c>
      <c r="V53" s="256">
        <f ca="1">IF(ISNUMBER(I53),I53/$O$11,"")</f>
        <v>2.2306714945962546E-5</v>
      </c>
      <c r="W53" s="256">
        <f ca="1">IF(ISNUMBER(J53),J53/$O$11,"")</f>
        <v>1.7058076135147613E-5</v>
      </c>
      <c r="X53" s="198">
        <f ca="1">IF(ISNUMBER(K53),K53/$O$11,"")</f>
        <v>1.8370235837851891E-5</v>
      </c>
      <c r="Y53" s="269" t="s">
        <v>138</v>
      </c>
      <c r="Z53" s="269" t="s">
        <v>138</v>
      </c>
      <c r="AA53" s="269" t="s">
        <v>138</v>
      </c>
      <c r="AB53" s="269" t="s">
        <v>138</v>
      </c>
      <c r="AC53" s="208" t="s">
        <v>138</v>
      </c>
      <c r="AD53" s="209">
        <f t="shared" ref="AD53:AD55" ca="1" si="5">IF(ISNUMBER(T53),IF(ISNUMBER(T$57),(T53^2)/(T$57^2),""),"")</f>
        <v>1.6234218466471464E-4</v>
      </c>
      <c r="AE53" s="266">
        <f t="shared" ref="AE53:AE55" ca="1" si="6">IF(ISNUMBER(U53),IF(ISNUMBER(U$57),(U53^2)/(U$57^2),""),"")</f>
        <v>1.4627092230018096E-4</v>
      </c>
      <c r="AF53" s="266">
        <f t="shared" ref="AF53:AF55" ca="1" si="7">IF(ISNUMBER(V53),IF(ISNUMBER(V$57),(V53^2)/(V$57^2),""),"")</f>
        <v>6.7833098655847E-5</v>
      </c>
      <c r="AG53" s="266">
        <f t="shared" ref="AG53:AG55" ca="1" si="8">IF(ISNUMBER(W53),IF(ISNUMBER(W$57),(W53^2)/(W$57^2),""),"")</f>
        <v>3.8255746228128476E-5</v>
      </c>
      <c r="AH53" s="210">
        <f t="shared" ref="AH53:AH55" ca="1" si="9">IF(ISNUMBER(X53),IF(ISNUMBER(X$57),(X53^2)/(X$57^2),""),"")</f>
        <v>4.6400812108908262E-5</v>
      </c>
    </row>
    <row r="54" spans="2:34">
      <c r="B54" s="267" t="s">
        <v>129</v>
      </c>
      <c r="C54" s="982" t="s">
        <v>175</v>
      </c>
      <c r="D54" s="983"/>
      <c r="E54" s="983"/>
      <c r="F54" s="984"/>
      <c r="G54" s="196">
        <f>'Registro Tratado'!N$396</f>
        <v>2.4999999999997247E-4</v>
      </c>
      <c r="H54" s="196">
        <f>'Registro Tratado'!O$396</f>
        <v>5.0000000000000044E-4</v>
      </c>
      <c r="I54" s="196">
        <f>'Registro Tratado'!P$396</f>
        <v>4.787135538781453E-4</v>
      </c>
      <c r="J54" s="196">
        <f>'Registro Tratado'!Q$396</f>
        <v>7.071067811865744E-4</v>
      </c>
      <c r="K54" s="196">
        <f>'Registro Tratado'!R$396</f>
        <v>4.0824829046386341E-4</v>
      </c>
      <c r="L54" s="198" t="s">
        <v>59</v>
      </c>
      <c r="M54" s="196" t="s">
        <v>131</v>
      </c>
      <c r="N54" s="196" t="s">
        <v>132</v>
      </c>
      <c r="O54" s="198">
        <v>1</v>
      </c>
      <c r="P54" s="196">
        <v>1</v>
      </c>
      <c r="Q54" s="256" t="s">
        <v>130</v>
      </c>
      <c r="R54" s="256" t="s">
        <v>133</v>
      </c>
      <c r="S54" s="198" t="s">
        <v>130</v>
      </c>
      <c r="T54" s="206">
        <f>IF(ISNUMBER(G54),G54/$O$12,"")</f>
        <v>2.4999999999997247E-4</v>
      </c>
      <c r="U54" s="256">
        <f>IF(ISNUMBER(H54),H54/$O$12,"")</f>
        <v>5.0000000000000044E-4</v>
      </c>
      <c r="V54" s="256">
        <f>IF(ISNUMBER(I54),I54/$O$12,"")</f>
        <v>4.787135538781453E-4</v>
      </c>
      <c r="W54" s="256">
        <f>IF(ISNUMBER(J54),J54/$O$12,"")</f>
        <v>7.071067811865744E-4</v>
      </c>
      <c r="X54" s="198">
        <f>IF(ISNUMBER(K54),K54/$O$12,"")</f>
        <v>4.0824829046386341E-4</v>
      </c>
      <c r="Y54" s="201">
        <f>VLOOKUP($I48,'Registro Tratado'!$F$362:$R$400, 9, FALSE) - 1</f>
        <v>3</v>
      </c>
      <c r="Z54" s="201">
        <f>VLOOKUP($I48,'Registro Tratado'!$F$362:$R$400, 10, FALSE) - 1</f>
        <v>3</v>
      </c>
      <c r="AA54" s="201">
        <f>VLOOKUP($I48,'Registro Tratado'!$F$362:$R$400, 11, FALSE) - 1</f>
        <v>3</v>
      </c>
      <c r="AB54" s="201">
        <f>VLOOKUP($I48,'Registro Tratado'!$F$362:$R$400, 12, FALSE) - 1</f>
        <v>3</v>
      </c>
      <c r="AC54" s="201">
        <f>VLOOKUP($I48,'Registro Tratado'!$F$362:$R$400, 13, FALSE) - 1</f>
        <v>3</v>
      </c>
      <c r="AD54" s="209">
        <f t="shared" ca="1" si="5"/>
        <v>8.7174871351004164E-3</v>
      </c>
      <c r="AE54" s="266">
        <f t="shared" ca="1" si="6"/>
        <v>3.3981660668778793E-2</v>
      </c>
      <c r="AF54" s="266">
        <f t="shared" ca="1" si="7"/>
        <v>3.124078003838255E-2</v>
      </c>
      <c r="AG54" s="266">
        <f t="shared" ca="1" si="8"/>
        <v>6.5736501210946166E-2</v>
      </c>
      <c r="AH54" s="210">
        <f t="shared" ca="1" si="9"/>
        <v>2.2916319449705354E-2</v>
      </c>
    </row>
    <row r="55" spans="2:34" ht="15.75" thickBot="1">
      <c r="B55" s="205" t="s">
        <v>134</v>
      </c>
      <c r="C55" s="973" t="s">
        <v>135</v>
      </c>
      <c r="D55" s="974"/>
      <c r="E55" s="974"/>
      <c r="F55" s="975"/>
      <c r="G55" s="213">
        <f>IF(ISNUMBER('Registro Original'!$G$46),'Registro Original'!$G$46,"")</f>
        <v>1E-3</v>
      </c>
      <c r="H55" s="213">
        <f>IF(ISNUMBER('Registro Original'!$G$46),'Registro Original'!$G$46,"")</f>
        <v>1E-3</v>
      </c>
      <c r="I55" s="213">
        <f>IF(ISNUMBER('Registro Original'!$G$46),'Registro Original'!$G$46,"")</f>
        <v>1E-3</v>
      </c>
      <c r="J55" s="213">
        <f>IF(ISNUMBER('Registro Original'!$G$46),'Registro Original'!$G$46,"")</f>
        <v>1E-3</v>
      </c>
      <c r="K55" s="213">
        <f>IF(ISNUMBER('Registro Original'!$G$46),'Registro Original'!$G$46,"")</f>
        <v>1E-3</v>
      </c>
      <c r="L55" s="212" t="s">
        <v>59</v>
      </c>
      <c r="M55" s="213" t="s">
        <v>136</v>
      </c>
      <c r="N55" s="213" t="s">
        <v>137</v>
      </c>
      <c r="O55" s="212">
        <f>SQRT(12)</f>
        <v>3.4641016151377544</v>
      </c>
      <c r="P55" s="213">
        <v>1</v>
      </c>
      <c r="Q55" s="213" t="s">
        <v>130</v>
      </c>
      <c r="R55" s="213" t="s">
        <v>133</v>
      </c>
      <c r="S55" s="212" t="s">
        <v>130</v>
      </c>
      <c r="T55" s="214">
        <f>IF(ISNUMBER(G55),G55/$O$13,"")</f>
        <v>2.886751345948129E-4</v>
      </c>
      <c r="U55" s="213">
        <f>IF(ISNUMBER(H55),H55/$O$13,"")</f>
        <v>2.886751345948129E-4</v>
      </c>
      <c r="V55" s="213">
        <f>IF(ISNUMBER(I55),I55/$O$13,"")</f>
        <v>2.886751345948129E-4</v>
      </c>
      <c r="W55" s="213">
        <f>IF(ISNUMBER(J55),J55/$O$13,"")</f>
        <v>2.886751345948129E-4</v>
      </c>
      <c r="X55" s="212">
        <f>IF(ISNUMBER(K55),K55/$O$13,"")</f>
        <v>2.886751345948129E-4</v>
      </c>
      <c r="Y55" s="207" t="s">
        <v>138</v>
      </c>
      <c r="Z55" s="207" t="s">
        <v>138</v>
      </c>
      <c r="AA55" s="207" t="s">
        <v>138</v>
      </c>
      <c r="AB55" s="207" t="s">
        <v>138</v>
      </c>
      <c r="AC55" s="208" t="s">
        <v>138</v>
      </c>
      <c r="AD55" s="215">
        <f t="shared" ca="1" si="5"/>
        <v>1.1623316180136449E-2</v>
      </c>
      <c r="AE55" s="216">
        <f t="shared" ca="1" si="6"/>
        <v>1.1327220222926244E-2</v>
      </c>
      <c r="AF55" s="216">
        <f t="shared" ca="1" si="7"/>
        <v>1.1360283650322055E-2</v>
      </c>
      <c r="AG55" s="216">
        <f t="shared" ca="1" si="8"/>
        <v>1.0956083535156863E-2</v>
      </c>
      <c r="AH55" s="217">
        <f t="shared" ca="1" si="9"/>
        <v>1.1458159724852654E-2</v>
      </c>
    </row>
    <row r="56" spans="2:34" ht="15.75" thickBot="1">
      <c r="B56" s="218"/>
      <c r="C56" s="219"/>
      <c r="D56" s="219"/>
      <c r="E56" s="219"/>
      <c r="F56" s="219"/>
      <c r="G56" s="196"/>
      <c r="H56" s="196"/>
      <c r="I56" s="196"/>
      <c r="J56" s="196"/>
      <c r="K56" s="196"/>
      <c r="L56" s="196"/>
      <c r="M56" s="196"/>
      <c r="N56" s="196"/>
      <c r="O56" s="196"/>
      <c r="P56" s="196"/>
      <c r="Q56" s="196"/>
      <c r="R56" s="196"/>
      <c r="S56" s="196"/>
      <c r="T56" s="196"/>
      <c r="U56" s="196"/>
      <c r="V56" s="196"/>
      <c r="W56" s="196"/>
      <c r="X56" s="196"/>
      <c r="Y56" s="976" t="s">
        <v>141</v>
      </c>
      <c r="Z56" s="977"/>
      <c r="AA56" s="977"/>
      <c r="AB56" s="977"/>
      <c r="AC56" s="978"/>
      <c r="AD56" s="196"/>
      <c r="AE56" s="196"/>
      <c r="AF56" s="196"/>
      <c r="AG56" s="196"/>
      <c r="AH56" s="196"/>
    </row>
    <row r="57" spans="2:34" ht="15.75" thickBot="1">
      <c r="B57" s="195" t="s">
        <v>142</v>
      </c>
      <c r="C57" s="993" t="s">
        <v>143</v>
      </c>
      <c r="D57" s="993"/>
      <c r="E57" s="993"/>
      <c r="F57" s="993"/>
      <c r="G57" s="993"/>
      <c r="H57" s="993"/>
      <c r="I57" s="993"/>
      <c r="J57" s="993"/>
      <c r="K57" s="993"/>
      <c r="L57" s="993"/>
      <c r="M57" s="993"/>
      <c r="N57" s="993"/>
      <c r="O57" s="993"/>
      <c r="P57" s="993"/>
      <c r="Q57" s="993"/>
      <c r="R57" s="994"/>
      <c r="S57" s="220" t="s">
        <v>130</v>
      </c>
      <c r="T57" s="221">
        <f ca="1" xml:space="preserve"> IF(ISNUMBER(T54),SQRT(SUMSQ($P54*T54,$P55*T55,$P52*T52,$P53*T53)),"")</f>
        <v>2.6775916875392053E-3</v>
      </c>
      <c r="U57" s="222">
        <f ca="1" xml:space="preserve"> IF(ISNUMBER(U54),SQRT(SUMSQ($P54*U54,$P55*U55,$P52*U52,$P53*U53)),"")</f>
        <v>2.7123623348036872E-3</v>
      </c>
      <c r="V57" s="222">
        <f ca="1" xml:space="preserve"> IF(ISNUMBER(V54),SQRT(SUMSQ($P54*V54,$P55*V55,$P52*V52,$P53*V53)),"")</f>
        <v>2.7084123743498991E-3</v>
      </c>
      <c r="W57" s="222">
        <f ca="1" xml:space="preserve"> IF(ISNUMBER(W54),SQRT(SUMSQ($P54*W54,$P55*W55,$P52*W52,$P53*W53)),"")</f>
        <v>2.7579202873351514E-3</v>
      </c>
      <c r="X57" s="223">
        <f ca="1" xml:space="preserve"> IF(ISNUMBER(X54),SQRT(SUMSQ($P54*X54,$P55*X55,$P52*X52,$P53*X53)),"")</f>
        <v>2.6968198800744439E-3</v>
      </c>
      <c r="Y57" s="531">
        <f ca="1">IF(Y54="","",IF(T54 = 0, "∞", IF((T57^4)/((T54^4)/Y54) &gt; 1000000, "∞", (T57^4)/((T54^4)/Y54))))</f>
        <v>39476.498494965206</v>
      </c>
      <c r="Z57" s="532">
        <f ca="1">IF(Z54="","",IF(U54 = 0, "∞", IF((U57^4)/((U54^4)/Z54) &gt; 1000000, "∞", (U57^4)/((U54^4)/Z54))))</f>
        <v>2597.9575890548431</v>
      </c>
      <c r="AA57" s="532">
        <f ca="1">IF(AA54="","",IF(V54 = 0, "∞", IF((V57^4)/((V54^4)/AA54) &gt; 1000000, "∞", (V57^4)/((V54^4)/AA54))))</f>
        <v>3073.8135207626201</v>
      </c>
      <c r="AB57" s="532">
        <f ca="1">IF(AB54="","",IF(W54 = 0, "∞", IF((W57^4)/((W54^4)/AB54) &gt; 1000000, "∞", (W57^4)/((W54^4)/AB54))))</f>
        <v>694.23752446633273</v>
      </c>
      <c r="AC57" s="533">
        <f ca="1">IF(AC54="","",IF(V54 = 0, "∞", IF((V57^4)/((V54^4)/AC54) &gt; 1000000, "∞", (V57^4)/((V54^4)/AC54))))</f>
        <v>3073.8135207626201</v>
      </c>
      <c r="AD57" s="218"/>
      <c r="AE57" s="218"/>
      <c r="AF57" s="218"/>
      <c r="AG57" s="218"/>
      <c r="AH57" s="218"/>
    </row>
    <row r="58" spans="2:34">
      <c r="B58" s="205" t="s">
        <v>144</v>
      </c>
      <c r="C58" s="985" t="s">
        <v>145</v>
      </c>
      <c r="D58" s="985"/>
      <c r="E58" s="985"/>
      <c r="F58" s="985"/>
      <c r="G58" s="985"/>
      <c r="H58" s="985"/>
      <c r="I58" s="985"/>
      <c r="J58" s="985"/>
      <c r="K58" s="985"/>
      <c r="L58" s="985"/>
      <c r="M58" s="985"/>
      <c r="N58" s="985"/>
      <c r="O58" s="985"/>
      <c r="P58" s="985"/>
      <c r="Q58" s="985"/>
      <c r="R58" s="986"/>
      <c r="S58" s="224" t="s">
        <v>130</v>
      </c>
      <c r="T58" s="225">
        <f ca="1">IF(ISNUMBER(Y59),T57*Y59,"")</f>
        <v>5.3553594955003522E-3</v>
      </c>
      <c r="U58" s="226">
        <f ca="1">IF(ISNUMBER(Z59),U57*Z59,"")</f>
        <v>5.4273435921827744E-3</v>
      </c>
      <c r="V58" s="226">
        <f ca="1">IF(ISNUMBER(AA59),V57*AA59,"")</f>
        <v>5.4190356477873307E-3</v>
      </c>
      <c r="W58" s="226">
        <f ca="1">IF(ISNUMBER(AB59),W57*AB59,"")</f>
        <v>5.5257997777042071E-3</v>
      </c>
      <c r="X58" s="226">
        <f ca="1">IF(ISNUMBER(AC59),X57*AC59,"")</f>
        <v>5.3958411961888952E-3</v>
      </c>
      <c r="Y58" s="976" t="s">
        <v>146</v>
      </c>
      <c r="Z58" s="977"/>
      <c r="AA58" s="977"/>
      <c r="AB58" s="977"/>
      <c r="AC58" s="978"/>
      <c r="AD58" s="218"/>
      <c r="AE58" s="218"/>
      <c r="AF58" s="218"/>
      <c r="AG58" s="218"/>
      <c r="AH58" s="218"/>
    </row>
    <row r="59" spans="2:34" ht="15.75" thickBot="1">
      <c r="B59" s="211" t="s">
        <v>144</v>
      </c>
      <c r="C59" s="987" t="s">
        <v>147</v>
      </c>
      <c r="D59" s="987"/>
      <c r="E59" s="987"/>
      <c r="F59" s="987"/>
      <c r="G59" s="987"/>
      <c r="H59" s="987"/>
      <c r="I59" s="987"/>
      <c r="J59" s="987"/>
      <c r="K59" s="987"/>
      <c r="L59" s="987"/>
      <c r="M59" s="987"/>
      <c r="N59" s="987"/>
      <c r="O59" s="987"/>
      <c r="P59" s="987"/>
      <c r="Q59" s="987"/>
      <c r="R59" s="988"/>
      <c r="S59" s="227" t="s">
        <v>130</v>
      </c>
      <c r="T59" s="518">
        <f ca="1">IF(ISNUMBER(T58), IF(((T58-ROUNDDOWN(T58,2))/T58)*100 &gt; 5,ROUNDUP(T58,2), ROUNDDOWN(T58,2)),"")</f>
        <v>0.01</v>
      </c>
      <c r="U59" s="518">
        <f ca="1">IF(ISNUMBER(U58), IF(((U58-ROUNDDOWN(U58,2))/U58)*100 &gt; 5,ROUNDUP(U58,2), ROUNDDOWN(U58,2)),"")</f>
        <v>0.01</v>
      </c>
      <c r="V59" s="518">
        <f ca="1">IF(ISNUMBER(V58), IF(((V58-ROUNDDOWN(V58,2))/V58)*100 &gt; 5,ROUNDUP(V58,2), ROUNDDOWN(V58,2)),"")</f>
        <v>0.01</v>
      </c>
      <c r="W59" s="518">
        <f ca="1">IF(ISNUMBER(W58), IF(((W58-ROUNDDOWN(W58,2))/W58)*100 &gt; 5,ROUNDUP(W58,2), ROUNDDOWN(W58,2)),"")</f>
        <v>0.01</v>
      </c>
      <c r="X59" s="518">
        <f ca="1">IF(ISNUMBER(X58), IF(((X58-ROUNDDOWN(X58,2))/X58)*100 &gt; 5,ROUNDUP(X58,2), ROUNDDOWN(X58,2)),"")</f>
        <v>0.01</v>
      </c>
      <c r="Y59" s="480">
        <f ca="1">IF(Y57 ="∞", 2, IF(ISNUMBER(Y57), IF(Y57 &gt; 1000000, 2,_xlfn.T.INV.2T(1-0.9545,Y57))))</f>
        <v>2.0000657756829621</v>
      </c>
      <c r="Z59" s="481">
        <f ca="1">IF(Z57 ="∞", 2, IF(ISNUMBER(Z57), IF(Z57 &gt; 1000000, 2,_xlfn.T.INV.2T(1-0.9545,Z57))))</f>
        <v>2.0009655504140413</v>
      </c>
      <c r="AA59" s="481">
        <f ca="1">IF(AA57 ="∞", 2, IF(ISNUMBER(AA57), IF(AA57 &gt; 1000000, 2,_xlfn.T.INV.2T(1-0.9545,AA57))))</f>
        <v>2.0008163081473378</v>
      </c>
      <c r="AB59" s="481">
        <f ca="1">IF(AB57 ="∞", 2, IF(ISNUMBER(AB57), IF(AB57 &gt; 1000000, 2,_xlfn.T.INV.2T(1-0.9545,AB57))))</f>
        <v>2.0036111279501583</v>
      </c>
      <c r="AC59" s="482">
        <f ca="1">IF(AC57 ="∞", 2, IF(ISNUMBER(AC57), IF(AC57 &gt; 1000000, 2,_xlfn.T.INV.2T(1-0.9545,AC57))))</f>
        <v>2.0008163081473378</v>
      </c>
      <c r="AD59" s="218"/>
      <c r="AE59" s="218"/>
      <c r="AF59" s="218"/>
      <c r="AG59" s="218"/>
      <c r="AH59" s="218"/>
    </row>
    <row r="60" spans="2:34" ht="15.75" thickBot="1"/>
    <row r="61" spans="2:34" ht="15.75" thickBot="1">
      <c r="B61" s="478" t="s">
        <v>149</v>
      </c>
      <c r="C61" s="1009" t="s">
        <v>148</v>
      </c>
      <c r="D61" s="1009"/>
      <c r="E61" s="1009"/>
      <c r="F61" s="479" t="s">
        <v>62</v>
      </c>
      <c r="G61" s="477" t="s">
        <v>63</v>
      </c>
      <c r="H61" s="479" t="s">
        <v>116</v>
      </c>
      <c r="I61" s="477" t="str">
        <f>IF($L61 = 0.25, 'Cadastro - Padrões Absorbância'!D$16, IF($L61 = 0.5, 'Cadastro - Padrões Absorbância'!D$15, 'Cadastro - Padrões Absorbância'!D$14))</f>
        <v>44602-3N</v>
      </c>
      <c r="J61" s="1011" t="s">
        <v>314</v>
      </c>
      <c r="K61" s="1011"/>
      <c r="L61" s="512">
        <v>0.5</v>
      </c>
      <c r="M61" s="1011" t="s">
        <v>162</v>
      </c>
      <c r="N61" s="1011"/>
      <c r="O61" s="253">
        <f>IF($AA61 = 1, VLOOKUP($I61,'Cadastro - Padrões Absorbância'!$D$7:$K$9,4,FALSE), IF($AA61 = 5, VLOOKUP($I61,'Cadastro - Padrões Absorbância'!$D$10:$K$12, 4,FALSE)))</f>
        <v>0.55200000000000005</v>
      </c>
      <c r="P61" s="253">
        <f>IF($AA61 = 1, VLOOKUP($I61,'Cadastro - Padrões Absorbância'!$D$7:$K$9,5,FALSE), IF($AA61 = 5, VLOOKUP($I61,'Cadastro - Padrões Absorbância'!$D$10:$K$12, 5,FALSE)))</f>
        <v>0.51339999999999997</v>
      </c>
      <c r="Q61" s="253">
        <f>IF($AA61 = 1, VLOOKUP($I61,'Cadastro - Padrões Absorbância'!$D$7:$K$9,6,FALSE), IF($AA61 = 5, VLOOKUP($I61,'Cadastro - Padrões Absorbância'!$D$10:$K$12, 6,FALSE)))</f>
        <v>0.51170000000000004</v>
      </c>
      <c r="R61" s="253">
        <f>IF($AA61 = 1, VLOOKUP($I61,'Cadastro - Padrões Absorbância'!$D$7:$K$9,7,FALSE), IF($AA61 = 5, VLOOKUP($I61,'Cadastro - Padrões Absorbância'!$D$10:$K$12, 7,FALSE)))</f>
        <v>0.54500000000000004</v>
      </c>
      <c r="S61" s="253">
        <f>IF($AA61 = 1, VLOOKUP($I61,'Cadastro - Padrões Absorbância'!$D$7:$K$9,8,FALSE), IF($AA61 = 5, VLOOKUP($I61,'Cadastro - Padrões Absorbância'!$D$10:$K$12, 8,FALSE)))</f>
        <v>0.55230000000000001</v>
      </c>
      <c r="T61" s="1017" t="str">
        <f xml:space="preserve"> CONCATENATE("Densidade neutra ", L61, " A")</f>
        <v>Densidade neutra 0,5 A</v>
      </c>
      <c r="U61" s="1010"/>
      <c r="V61" s="271" t="s">
        <v>176</v>
      </c>
      <c r="W61" s="1010" t="str">
        <f>CONCATENATE(L61, " A", " – ",I61)</f>
        <v>0,5 A – 44602-3N</v>
      </c>
      <c r="X61" s="1015"/>
      <c r="Y61" s="1016" t="s">
        <v>164</v>
      </c>
      <c r="Z61" s="1011"/>
      <c r="AA61" s="491">
        <v>1</v>
      </c>
      <c r="AB61" s="1011" t="s">
        <v>307</v>
      </c>
      <c r="AC61" s="1011"/>
      <c r="AD61" s="493">
        <f>VLOOKUP($I61,'Cadastro - Padrões Absorbância'!$D$7:$Q$12,14,FALSE)</f>
        <v>44414</v>
      </c>
      <c r="AE61" s="254"/>
      <c r="AF61" s="254"/>
      <c r="AG61" s="254"/>
      <c r="AH61" s="272"/>
    </row>
    <row r="62" spans="2:34" ht="3.75" customHeight="1" thickBot="1">
      <c r="B62" s="185"/>
      <c r="C62" s="185"/>
      <c r="D62" s="186"/>
      <c r="E62" s="186"/>
      <c r="F62" s="185"/>
      <c r="G62" s="186"/>
      <c r="H62" s="185"/>
      <c r="I62" s="186"/>
      <c r="J62" s="186"/>
      <c r="K62" s="186"/>
      <c r="L62" s="185"/>
      <c r="M62" s="185"/>
      <c r="N62" s="185"/>
      <c r="O62" s="187"/>
      <c r="P62" s="188"/>
      <c r="Q62" s="188"/>
      <c r="R62" s="189"/>
      <c r="S62" s="189"/>
      <c r="AH62" s="270"/>
    </row>
    <row r="63" spans="2:34" ht="15.75" thickBot="1">
      <c r="B63" s="998" t="s">
        <v>117</v>
      </c>
      <c r="C63" s="999"/>
      <c r="D63" s="999"/>
      <c r="E63" s="999"/>
      <c r="F63" s="999"/>
      <c r="G63" s="999"/>
      <c r="H63" s="999"/>
      <c r="I63" s="999"/>
      <c r="J63" s="999"/>
      <c r="K63" s="999"/>
      <c r="L63" s="999"/>
      <c r="M63" s="999"/>
      <c r="N63" s="999"/>
      <c r="O63" s="1000"/>
      <c r="P63" s="995" t="s">
        <v>118</v>
      </c>
      <c r="Q63" s="996"/>
      <c r="R63" s="996"/>
      <c r="S63" s="997"/>
      <c r="T63" s="976" t="s">
        <v>119</v>
      </c>
      <c r="U63" s="977"/>
      <c r="V63" s="977"/>
      <c r="W63" s="977"/>
      <c r="X63" s="978"/>
      <c r="Y63" s="976" t="s">
        <v>120</v>
      </c>
      <c r="Z63" s="977"/>
      <c r="AA63" s="977"/>
      <c r="AB63" s="977"/>
      <c r="AC63" s="978"/>
      <c r="AD63" s="976" t="s">
        <v>121</v>
      </c>
      <c r="AE63" s="977"/>
      <c r="AF63" s="977"/>
      <c r="AG63" s="977"/>
      <c r="AH63" s="978"/>
    </row>
    <row r="64" spans="2:34" ht="15.75" thickBot="1">
      <c r="B64" s="190" t="s">
        <v>122</v>
      </c>
      <c r="C64" s="998" t="s">
        <v>123</v>
      </c>
      <c r="D64" s="999"/>
      <c r="E64" s="999"/>
      <c r="F64" s="1000"/>
      <c r="G64" s="176">
        <v>440</v>
      </c>
      <c r="H64" s="176">
        <v>465</v>
      </c>
      <c r="I64" s="176">
        <v>546.1</v>
      </c>
      <c r="J64" s="176">
        <v>590</v>
      </c>
      <c r="K64" s="177">
        <v>635</v>
      </c>
      <c r="L64" s="476" t="s">
        <v>124</v>
      </c>
      <c r="M64" s="192" t="s">
        <v>125</v>
      </c>
      <c r="N64" s="193" t="s">
        <v>126</v>
      </c>
      <c r="O64" s="192" t="s">
        <v>127</v>
      </c>
      <c r="P64" s="194" t="s">
        <v>128</v>
      </c>
      <c r="Q64" s="1001" t="s">
        <v>124</v>
      </c>
      <c r="R64" s="1002"/>
      <c r="S64" s="1003"/>
      <c r="T64" s="257" t="s">
        <v>166</v>
      </c>
      <c r="U64" s="258" t="s">
        <v>167</v>
      </c>
      <c r="V64" s="258" t="s">
        <v>168</v>
      </c>
      <c r="W64" s="258" t="s">
        <v>169</v>
      </c>
      <c r="X64" s="259" t="s">
        <v>170</v>
      </c>
      <c r="Y64" s="257" t="s">
        <v>166</v>
      </c>
      <c r="Z64" s="258" t="s">
        <v>167</v>
      </c>
      <c r="AA64" s="258" t="s">
        <v>168</v>
      </c>
      <c r="AB64" s="258" t="s">
        <v>169</v>
      </c>
      <c r="AC64" s="259" t="s">
        <v>170</v>
      </c>
      <c r="AD64" s="257" t="s">
        <v>166</v>
      </c>
      <c r="AE64" s="258" t="s">
        <v>167</v>
      </c>
      <c r="AF64" s="258" t="s">
        <v>168</v>
      </c>
      <c r="AG64" s="258" t="s">
        <v>169</v>
      </c>
      <c r="AH64" s="259" t="s">
        <v>170</v>
      </c>
    </row>
    <row r="65" spans="2:34">
      <c r="B65" s="205" t="s">
        <v>139</v>
      </c>
      <c r="C65" s="982" t="s">
        <v>165</v>
      </c>
      <c r="D65" s="992"/>
      <c r="E65" s="992"/>
      <c r="F65" s="984"/>
      <c r="G65" s="513">
        <f>IF($AA61 = 1, VLOOKUP($I61,'Cadastro - Padrões Absorbância'!$D$7:$P$9,9,FALSE), IF($AA61 = 5, VLOOKUP($I61,'Cadastro - Padrões Absorbância'!$D$10:$P$12, 9,FALSE)))</f>
        <v>4.0000000000000001E-3</v>
      </c>
      <c r="H65" s="513">
        <f>IF($AA61 = 1, VLOOKUP($I61,'Cadastro - Padrões Absorbância'!$D$7:$P$9,10,FALSE), IF($AA61 = 5, VLOOKUP($I61,'Cadastro - Padrões Absorbância'!$D$10:$P$12, 10,FALSE)))</f>
        <v>4.0000000000000001E-3</v>
      </c>
      <c r="I65" s="513">
        <f>IF($AA61 = 1, VLOOKUP($I61,'Cadastro - Padrões Absorbância'!$D$7:$P$9,11,FALSE), IF($AA61 = 5, VLOOKUP($I61,'Cadastro - Padrões Absorbância'!$D$10:$P$12, 11,FALSE)))</f>
        <v>4.0000000000000001E-3</v>
      </c>
      <c r="J65" s="513">
        <f>IF($AA61 = 1, VLOOKUP($I61,'Cadastro - Padrões Absorbância'!$D$7:$P$9,12,FALSE), IF($AA61 = 5, VLOOKUP($I61,'Cadastro - Padrões Absorbância'!$D$10:$P$12, 12,FALSE)))</f>
        <v>4.0000000000000001E-3</v>
      </c>
      <c r="K65" s="513">
        <f>IF($AA61 = 1, VLOOKUP($I61,'Cadastro - Padrões Absorbância'!$D$7:$P$9,13,FALSE), IF($AA61 = 5, VLOOKUP($I61,'Cadastro - Padrões Absorbância'!$D$10:$P$12, 13,FALSE)))</f>
        <v>4.0000000000000001E-3</v>
      </c>
      <c r="L65" s="198" t="s">
        <v>59</v>
      </c>
      <c r="M65" s="196" t="s">
        <v>136</v>
      </c>
      <c r="N65" s="196" t="s">
        <v>132</v>
      </c>
      <c r="O65" s="198">
        <v>2</v>
      </c>
      <c r="P65" s="196">
        <v>1</v>
      </c>
      <c r="Q65" s="196" t="s">
        <v>130</v>
      </c>
      <c r="R65" s="196" t="s">
        <v>133</v>
      </c>
      <c r="S65" s="198" t="s">
        <v>130</v>
      </c>
      <c r="T65" s="200">
        <f>IF(ISNUMBER(G65),G65/$O$10,"")</f>
        <v>2E-3</v>
      </c>
      <c r="U65" s="199">
        <f>IF(ISNUMBER(H65),H65/$O$10,"")</f>
        <v>2E-3</v>
      </c>
      <c r="V65" s="199">
        <f>IF(ISNUMBER(I65),I65/$O$10,"")</f>
        <v>2E-3</v>
      </c>
      <c r="W65" s="199">
        <f>IF(ISNUMBER(J65),J65/$O$10,"")</f>
        <v>2E-3</v>
      </c>
      <c r="X65" s="197">
        <f>IF(ISNUMBER(K65),K65/$O$10,"")</f>
        <v>2E-3</v>
      </c>
      <c r="Y65" s="207" t="s">
        <v>138</v>
      </c>
      <c r="Z65" s="207" t="s">
        <v>138</v>
      </c>
      <c r="AA65" s="207" t="s">
        <v>138</v>
      </c>
      <c r="AB65" s="207" t="s">
        <v>138</v>
      </c>
      <c r="AC65" s="208" t="s">
        <v>138</v>
      </c>
      <c r="AD65" s="202">
        <f ca="1">IF(ISNUMBER(T65),IF(ISNUMBER(T$70),(T65^2)/(T$70^2),""),"")</f>
        <v>0.96455332943615135</v>
      </c>
      <c r="AE65" s="203">
        <f t="shared" ref="AE65:AH68" ca="1" si="10">IF(ISNUMBER(U65),IF(ISNUMBER(U$70),(U65^2)/(U$70^2),""),"")</f>
        <v>0.92284775117431483</v>
      </c>
      <c r="AF65" s="203">
        <f t="shared" ca="1" si="10"/>
        <v>0.92742922224409452</v>
      </c>
      <c r="AG65" s="203">
        <f t="shared" ca="1" si="10"/>
        <v>0.87267187019305692</v>
      </c>
      <c r="AH65" s="204">
        <f t="shared" ca="1" si="10"/>
        <v>0.94110174366319954</v>
      </c>
    </row>
    <row r="66" spans="2:34">
      <c r="B66" s="268" t="s">
        <v>140</v>
      </c>
      <c r="C66" s="1012" t="s">
        <v>454</v>
      </c>
      <c r="D66" s="1013"/>
      <c r="E66" s="1013"/>
      <c r="F66" s="1014"/>
      <c r="G66" s="517">
        <f ca="1">IF($AD61 = "", G65, ABS((((YEAR(TODAY())-YEAR($AD61))*12 - MONTH($AD61) + MONTH(TODAY())))*VLOOKUP($L$6,'Cadastro - Padrões Absorbância'!$F$41:$P$43,7,FALSE)))</f>
        <v>1.1818181818181779E-4</v>
      </c>
      <c r="H66" s="517">
        <f ca="1">IF($AD61 = "", H65, ABS((((YEAR(TODAY())-YEAR($AD61))*12 - MONTH($AD61) + MONTH(TODAY())))*VLOOKUP($L$6,'Cadastro - Padrões Absorbância'!$F$41:$P$43,8,FALSE)))</f>
        <v>1.1363636363636247E-4</v>
      </c>
      <c r="I66" s="517">
        <f ca="1">IF($AD61 = "", I65, ABS((((YEAR(TODAY())-YEAR($AD61))*12 - MONTH($AD61) + MONTH(TODAY())))*VLOOKUP($L$6,'Cadastro - Padrões Absorbância'!$F$41:$P$43,9,FALSE)))</f>
        <v>7.7272727272726337E-5</v>
      </c>
      <c r="J66" s="517">
        <f ca="1">IF($AD61 = "", J65, ABS((((YEAR(TODAY())-YEAR($AD61))*12 - MONTH($AD61) + MONTH(TODAY())))*VLOOKUP($L$6,'Cadastro - Padrões Absorbância'!$F$41:$P$43,10,FALSE)))</f>
        <v>5.9090909090907626E-5</v>
      </c>
      <c r="K66" s="517">
        <f ca="1">IF($AD61 = "", K65, ABS((((YEAR(TODAY())-YEAR($AD61))*12 - MONTH($AD61) + MONTH(TODAY())))*VLOOKUP($L$6,'Cadastro - Padrões Absorbância'!$F$41:$P$43,11,FALSE)))</f>
        <v>6.3636363636364196E-5</v>
      </c>
      <c r="L66" s="198" t="s">
        <v>59</v>
      </c>
      <c r="M66" s="256" t="s">
        <v>136</v>
      </c>
      <c r="N66" s="256" t="s">
        <v>137</v>
      </c>
      <c r="O66" s="198">
        <f>SQRT(12)</f>
        <v>3.4641016151377544</v>
      </c>
      <c r="P66" s="256">
        <v>1</v>
      </c>
      <c r="Q66" s="256" t="s">
        <v>130</v>
      </c>
      <c r="R66" s="256" t="s">
        <v>133</v>
      </c>
      <c r="S66" s="198" t="s">
        <v>130</v>
      </c>
      <c r="T66" s="206">
        <f ca="1">IF(ISNUMBER(G66),G66/$O$11,"")</f>
        <v>3.4116152270295958E-5</v>
      </c>
      <c r="U66" s="256">
        <f ca="1">IF(ISNUMBER(H66),H66/$O$11,"")</f>
        <v>3.2803992567592039E-5</v>
      </c>
      <c r="V66" s="256">
        <f ca="1">IF(ISNUMBER(I66),I66/$O$11,"")</f>
        <v>2.2306714945962546E-5</v>
      </c>
      <c r="W66" s="256">
        <f ca="1">IF(ISNUMBER(J66),J66/$O$11,"")</f>
        <v>1.7058076135147613E-5</v>
      </c>
      <c r="X66" s="198">
        <f ca="1">IF(ISNUMBER(K66),K66/$O$11,"")</f>
        <v>1.8370235837851891E-5</v>
      </c>
      <c r="Y66" s="269" t="s">
        <v>138</v>
      </c>
      <c r="Z66" s="269" t="s">
        <v>138</v>
      </c>
      <c r="AA66" s="269" t="s">
        <v>138</v>
      </c>
      <c r="AB66" s="269" t="s">
        <v>138</v>
      </c>
      <c r="AC66" s="208" t="s">
        <v>138</v>
      </c>
      <c r="AD66" s="209">
        <f t="shared" ref="AD66:AD68" ca="1" si="11">IF(ISNUMBER(T66),IF(ISNUMBER(T$70),(T66^2)/(T$70^2),""),"")</f>
        <v>2.8066376149226676E-4</v>
      </c>
      <c r="AE66" s="266">
        <f t="shared" ca="1" si="10"/>
        <v>2.4826956115871858E-4</v>
      </c>
      <c r="AF66" s="266">
        <f t="shared" ca="1" si="10"/>
        <v>1.1536976809079584E-4</v>
      </c>
      <c r="AG66" s="266">
        <f t="shared" ca="1" si="10"/>
        <v>6.3482070447064116E-5</v>
      </c>
      <c r="AH66" s="210">
        <f t="shared" ca="1" si="10"/>
        <v>7.9397357850374644E-5</v>
      </c>
    </row>
    <row r="67" spans="2:34">
      <c r="B67" s="267" t="s">
        <v>129</v>
      </c>
      <c r="C67" s="982" t="s">
        <v>175</v>
      </c>
      <c r="D67" s="983"/>
      <c r="E67" s="983"/>
      <c r="F67" s="984"/>
      <c r="G67" s="196">
        <f>'Registro Tratado'!N$396</f>
        <v>2.4999999999997247E-4</v>
      </c>
      <c r="H67" s="196">
        <f>'Registro Tratado'!O$396</f>
        <v>5.0000000000000044E-4</v>
      </c>
      <c r="I67" s="196">
        <f>'Registro Tratado'!P$396</f>
        <v>4.787135538781453E-4</v>
      </c>
      <c r="J67" s="196">
        <f>'Registro Tratado'!Q$396</f>
        <v>7.071067811865744E-4</v>
      </c>
      <c r="K67" s="196">
        <f>'Registro Tratado'!R$396</f>
        <v>4.0824829046386341E-4</v>
      </c>
      <c r="L67" s="198" t="s">
        <v>59</v>
      </c>
      <c r="M67" s="196" t="s">
        <v>131</v>
      </c>
      <c r="N67" s="196" t="s">
        <v>132</v>
      </c>
      <c r="O67" s="198">
        <v>1</v>
      </c>
      <c r="P67" s="196">
        <v>1</v>
      </c>
      <c r="Q67" s="256" t="s">
        <v>130</v>
      </c>
      <c r="R67" s="256" t="s">
        <v>133</v>
      </c>
      <c r="S67" s="198" t="s">
        <v>130</v>
      </c>
      <c r="T67" s="206">
        <f>IF(ISNUMBER(G67),G67/$O$12,"")</f>
        <v>2.4999999999997247E-4</v>
      </c>
      <c r="U67" s="256">
        <f>IF(ISNUMBER(H67),H67/$O$12,"")</f>
        <v>5.0000000000000044E-4</v>
      </c>
      <c r="V67" s="256">
        <f>IF(ISNUMBER(I67),I67/$O$12,"")</f>
        <v>4.787135538781453E-4</v>
      </c>
      <c r="W67" s="256">
        <f>IF(ISNUMBER(J67),J67/$O$12,"")</f>
        <v>7.071067811865744E-4</v>
      </c>
      <c r="X67" s="198">
        <f>IF(ISNUMBER(K67),K67/$O$12,"")</f>
        <v>4.0824829046386341E-4</v>
      </c>
      <c r="Y67" s="201">
        <f>VLOOKUP($I61,'Registro Tratado'!$F$362:$R$400, 9, FALSE) - 1</f>
        <v>3</v>
      </c>
      <c r="Z67" s="201">
        <f>VLOOKUP($I61,'Registro Tratado'!$F$362:$R$400, 10, FALSE) - 1</f>
        <v>3</v>
      </c>
      <c r="AA67" s="201">
        <f>VLOOKUP($I61,'Registro Tratado'!$F$362:$R$400, 11, FALSE) - 1</f>
        <v>3</v>
      </c>
      <c r="AB67" s="201">
        <f>VLOOKUP($I61,'Registro Tratado'!$F$362:$R$400, 12, FALSE) - 1</f>
        <v>3</v>
      </c>
      <c r="AC67" s="201">
        <f>VLOOKUP($I61,'Registro Tratado'!$F$362:$R$400, 13, FALSE) - 1</f>
        <v>3</v>
      </c>
      <c r="AD67" s="209">
        <f t="shared" ca="1" si="11"/>
        <v>1.5071145772436545E-2</v>
      </c>
      <c r="AE67" s="266">
        <f t="shared" ca="1" si="10"/>
        <v>5.7677984448394788E-2</v>
      </c>
      <c r="AF67" s="266">
        <f t="shared" ca="1" si="10"/>
        <v>5.3133965857729309E-2</v>
      </c>
      <c r="AG67" s="266">
        <f t="shared" ca="1" si="10"/>
        <v>0.1090839837741404</v>
      </c>
      <c r="AH67" s="210">
        <f t="shared" ca="1" si="10"/>
        <v>3.9212572652633393E-2</v>
      </c>
    </row>
    <row r="68" spans="2:34" ht="15.75" thickBot="1">
      <c r="B68" s="205" t="s">
        <v>134</v>
      </c>
      <c r="C68" s="973" t="s">
        <v>135</v>
      </c>
      <c r="D68" s="974"/>
      <c r="E68" s="974"/>
      <c r="F68" s="975"/>
      <c r="G68" s="213">
        <f>IF(ISNUMBER('Registro Original'!$G$46),'Registro Original'!$G$46,"")</f>
        <v>1E-3</v>
      </c>
      <c r="H68" s="213">
        <f>IF(ISNUMBER('Registro Original'!$G$46),'Registro Original'!$G$46,"")</f>
        <v>1E-3</v>
      </c>
      <c r="I68" s="213">
        <f>IF(ISNUMBER('Registro Original'!$G$46),'Registro Original'!$G$46,"")</f>
        <v>1E-3</v>
      </c>
      <c r="J68" s="213">
        <f>IF(ISNUMBER('Registro Original'!$G$46),'Registro Original'!$G$46,"")</f>
        <v>1E-3</v>
      </c>
      <c r="K68" s="213">
        <f>IF(ISNUMBER('Registro Original'!$G$46),'Registro Original'!$G$46,"")</f>
        <v>1E-3</v>
      </c>
      <c r="L68" s="212" t="s">
        <v>59</v>
      </c>
      <c r="M68" s="213" t="s">
        <v>136</v>
      </c>
      <c r="N68" s="213" t="s">
        <v>137</v>
      </c>
      <c r="O68" s="212">
        <f>SQRT(12)</f>
        <v>3.4641016151377544</v>
      </c>
      <c r="P68" s="213">
        <v>1</v>
      </c>
      <c r="Q68" s="213" t="s">
        <v>130</v>
      </c>
      <c r="R68" s="213" t="s">
        <v>133</v>
      </c>
      <c r="S68" s="212" t="s">
        <v>130</v>
      </c>
      <c r="T68" s="214">
        <f>IF(ISNUMBER(G68),G68/$O$13,"")</f>
        <v>2.886751345948129E-4</v>
      </c>
      <c r="U68" s="213">
        <f>IF(ISNUMBER(H68),H68/$O$13,"")</f>
        <v>2.886751345948129E-4</v>
      </c>
      <c r="V68" s="213">
        <f>IF(ISNUMBER(I68),I68/$O$13,"")</f>
        <v>2.886751345948129E-4</v>
      </c>
      <c r="W68" s="213">
        <f>IF(ISNUMBER(J68),J68/$O$13,"")</f>
        <v>2.886751345948129E-4</v>
      </c>
      <c r="X68" s="212">
        <f>IF(ISNUMBER(K68),K68/$O$13,"")</f>
        <v>2.886751345948129E-4</v>
      </c>
      <c r="Y68" s="207" t="s">
        <v>138</v>
      </c>
      <c r="Z68" s="207" t="s">
        <v>138</v>
      </c>
      <c r="AA68" s="207" t="s">
        <v>138</v>
      </c>
      <c r="AB68" s="207" t="s">
        <v>138</v>
      </c>
      <c r="AC68" s="208" t="s">
        <v>138</v>
      </c>
      <c r="AD68" s="215">
        <f t="shared" ca="1" si="11"/>
        <v>2.0094861029919822E-2</v>
      </c>
      <c r="AE68" s="216">
        <f t="shared" ca="1" si="10"/>
        <v>1.9225994816131561E-2</v>
      </c>
      <c r="AF68" s="216">
        <f t="shared" ca="1" si="10"/>
        <v>1.9321442130085305E-2</v>
      </c>
      <c r="AG68" s="216">
        <f t="shared" ca="1" si="10"/>
        <v>1.8180663962355355E-2</v>
      </c>
      <c r="AH68" s="217">
        <f t="shared" ca="1" si="10"/>
        <v>1.9606286326316658E-2</v>
      </c>
    </row>
    <row r="69" spans="2:34" ht="15.75" thickBot="1">
      <c r="B69" s="218"/>
      <c r="C69" s="219"/>
      <c r="D69" s="219"/>
      <c r="E69" s="219"/>
      <c r="F69" s="219"/>
      <c r="G69" s="196"/>
      <c r="H69" s="196"/>
      <c r="I69" s="196"/>
      <c r="J69" s="196"/>
      <c r="K69" s="196"/>
      <c r="L69" s="196"/>
      <c r="M69" s="196"/>
      <c r="N69" s="196"/>
      <c r="O69" s="196"/>
      <c r="P69" s="196"/>
      <c r="Q69" s="196"/>
      <c r="R69" s="196"/>
      <c r="S69" s="196"/>
      <c r="T69" s="196"/>
      <c r="U69" s="196"/>
      <c r="V69" s="196"/>
      <c r="W69" s="196"/>
      <c r="X69" s="196"/>
      <c r="Y69" s="976" t="s">
        <v>141</v>
      </c>
      <c r="Z69" s="977"/>
      <c r="AA69" s="977"/>
      <c r="AB69" s="977"/>
      <c r="AC69" s="978"/>
      <c r="AD69" s="196"/>
      <c r="AE69" s="196"/>
      <c r="AF69" s="196"/>
      <c r="AG69" s="196"/>
      <c r="AH69" s="196"/>
    </row>
    <row r="70" spans="2:34" ht="15.75" thickBot="1">
      <c r="B70" s="195" t="s">
        <v>142</v>
      </c>
      <c r="C70" s="993" t="s">
        <v>143</v>
      </c>
      <c r="D70" s="993"/>
      <c r="E70" s="993"/>
      <c r="F70" s="993"/>
      <c r="G70" s="993"/>
      <c r="H70" s="993"/>
      <c r="I70" s="993"/>
      <c r="J70" s="993"/>
      <c r="K70" s="993"/>
      <c r="L70" s="993"/>
      <c r="M70" s="993"/>
      <c r="N70" s="993"/>
      <c r="O70" s="993"/>
      <c r="P70" s="993"/>
      <c r="Q70" s="993"/>
      <c r="R70" s="994"/>
      <c r="S70" s="220" t="s">
        <v>130</v>
      </c>
      <c r="T70" s="221">
        <f ca="1" xml:space="preserve"> IF(ISNUMBER(T67),SQRT(SUMSQ($P67*T67,$P68*T68,$P65*T65,$P66*T66)),"")</f>
        <v>2.0364177481987946E-3</v>
      </c>
      <c r="U70" s="222">
        <f ca="1" xml:space="preserve"> IF(ISNUMBER(U67),SQRT(SUMSQ($P67*U67,$P68*U68,$P65*U65,$P66*U66)),"")</f>
        <v>2.0819244547441457E-3</v>
      </c>
      <c r="V70" s="222">
        <f ca="1" xml:space="preserve"> IF(ISNUMBER(V67),SQRT(SUMSQ($P67*V67,$P68*V68,$P65*V65,$P66*V66)),"")</f>
        <v>2.076775767754347E-3</v>
      </c>
      <c r="W70" s="222">
        <f ca="1" xml:space="preserve"> IF(ISNUMBER(W67),SQRT(SUMSQ($P67*W67,$P68*W68,$P65*W65,$P66*W66)),"")</f>
        <v>2.1409400531763622E-3</v>
      </c>
      <c r="X70" s="223">
        <f ca="1" xml:space="preserve"> IF(ISNUMBER(X67),SQRT(SUMSQ($P67*X67,$P68*X68,$P65*X65,$P66*X66)),"")</f>
        <v>2.0616346586058206E-3</v>
      </c>
      <c r="Y70" s="531">
        <f ca="1">IF(Y67="","",IF(T67 = 0, "∞", IF((T70^4)/((T67^4)/Y67) &gt; 1000000, "∞", (T70^4)/((T67^4)/Y67))))</f>
        <v>13207.746164375194</v>
      </c>
      <c r="Z70" s="532">
        <f ca="1">IF(Z67="","",IF(U67 = 0, "∞", IF((U70^4)/((U67^4)/Z67) &gt; 1000000, "∞", (U70^4)/((U67^4)/Z67))))</f>
        <v>901.78104731931137</v>
      </c>
      <c r="AA70" s="532">
        <f ca="1">IF(AA67="","",IF(V67 = 0, "∞", IF((V70^4)/((V67^4)/AA67) &gt; 1000000, "∞", (V70^4)/((V67^4)/AA67))))</f>
        <v>1062.6170744539158</v>
      </c>
      <c r="AB70" s="532">
        <f ca="1">IF(AB67="","",IF(W67 = 0, "∞", IF((W70^4)/((W67^4)/AB67) &gt; 1000000, "∞", (W70^4)/((W67^4)/AB67))))</f>
        <v>252.11534192507494</v>
      </c>
      <c r="AC70" s="533">
        <f ca="1">IF(AC67="","",IF(V67 = 0, "∞", IF((V70^4)/((V67^4)/AC67) &gt; 1000000, "∞", (V70^4)/((V67^4)/AC67))))</f>
        <v>1062.6170744539158</v>
      </c>
      <c r="AD70" s="218"/>
      <c r="AE70" s="218"/>
      <c r="AF70" s="218"/>
      <c r="AG70" s="218"/>
      <c r="AH70" s="218"/>
    </row>
    <row r="71" spans="2:34">
      <c r="B71" s="205" t="s">
        <v>144</v>
      </c>
      <c r="C71" s="985" t="s">
        <v>145</v>
      </c>
      <c r="D71" s="985"/>
      <c r="E71" s="985"/>
      <c r="F71" s="985"/>
      <c r="G71" s="985"/>
      <c r="H71" s="985"/>
      <c r="I71" s="985"/>
      <c r="J71" s="985"/>
      <c r="K71" s="985"/>
      <c r="L71" s="985"/>
      <c r="M71" s="985"/>
      <c r="N71" s="985"/>
      <c r="O71" s="985"/>
      <c r="P71" s="985"/>
      <c r="Q71" s="985"/>
      <c r="R71" s="986"/>
      <c r="S71" s="224" t="s">
        <v>130</v>
      </c>
      <c r="T71" s="225">
        <f ca="1">IF(ISNUMBER(Y72),T70*Y72,"")</f>
        <v>4.0732259909372478E-3</v>
      </c>
      <c r="U71" s="226">
        <f ca="1">IF(ISNUMBER(Z72),U70*Z72,"")</f>
        <v>4.1696385829741809E-3</v>
      </c>
      <c r="V71" s="226">
        <f ca="1">IF(ISNUMBER(AA72),V70*AA72,"")</f>
        <v>4.1584511024953218E-3</v>
      </c>
      <c r="W71" s="226">
        <f ca="1">IF(ISNUMBER(AB72),W70*AB72,"")</f>
        <v>4.3032285222556199E-3</v>
      </c>
      <c r="X71" s="226">
        <f ca="1">IF(ISNUMBER(AC72),X70*AC72,"")</f>
        <v>4.1281331630194703E-3</v>
      </c>
      <c r="Y71" s="976" t="s">
        <v>146</v>
      </c>
      <c r="Z71" s="977"/>
      <c r="AA71" s="977"/>
      <c r="AB71" s="977"/>
      <c r="AC71" s="978"/>
      <c r="AD71" s="218"/>
      <c r="AE71" s="218"/>
      <c r="AF71" s="218"/>
      <c r="AG71" s="218"/>
      <c r="AH71" s="218"/>
    </row>
    <row r="72" spans="2:34" ht="15.75" thickBot="1">
      <c r="B72" s="211" t="s">
        <v>144</v>
      </c>
      <c r="C72" s="987" t="s">
        <v>147</v>
      </c>
      <c r="D72" s="987"/>
      <c r="E72" s="987"/>
      <c r="F72" s="987"/>
      <c r="G72" s="987"/>
      <c r="H72" s="987"/>
      <c r="I72" s="987"/>
      <c r="J72" s="987"/>
      <c r="K72" s="987"/>
      <c r="L72" s="987"/>
      <c r="M72" s="987"/>
      <c r="N72" s="987"/>
      <c r="O72" s="987"/>
      <c r="P72" s="987"/>
      <c r="Q72" s="987"/>
      <c r="R72" s="988"/>
      <c r="S72" s="227" t="s">
        <v>130</v>
      </c>
      <c r="T72" s="518">
        <f ca="1">IF(ISNUMBER(T71), IF(((T71-ROUNDDOWN(T71,2))/T71)*100 &gt; 5,ROUNDUP(T71,2), ROUNDDOWN(T71,2)),"")</f>
        <v>0.01</v>
      </c>
      <c r="U72" s="518">
        <f ca="1">IF(ISNUMBER(U71), IF(((U71-ROUNDDOWN(U71,2))/U71)*100 &gt; 5,ROUNDUP(U71,2), ROUNDDOWN(U71,2)),"")</f>
        <v>0.01</v>
      </c>
      <c r="V72" s="518">
        <f ca="1">IF(ISNUMBER(V71), IF(((V71-ROUNDDOWN(V71,2))/V71)*100 &gt; 5,ROUNDUP(V71,2), ROUNDDOWN(V71,2)),"")</f>
        <v>0.01</v>
      </c>
      <c r="W72" s="518">
        <f ca="1">IF(ISNUMBER(W71), IF(((W71-ROUNDDOWN(W71,2))/W71)*100 &gt; 5,ROUNDUP(W71,2), ROUNDDOWN(W71,2)),"")</f>
        <v>0.01</v>
      </c>
      <c r="X72" s="518">
        <f ca="1">IF(ISNUMBER(X71), IF(((X71-ROUNDDOWN(X71,2))/X71)*100 &gt; 5,ROUNDUP(X71,2), ROUNDDOWN(X71,2)),"")</f>
        <v>0.01</v>
      </c>
      <c r="Y72" s="480">
        <f ca="1">IF(Y70 ="∞", 2, IF(ISNUMBER(Y70), IF(Y70 &gt; 1000000, 2,_xlfn.T.INV.2T(1-0.9545,Y70))))</f>
        <v>2.0001917556159605</v>
      </c>
      <c r="Z72" s="481">
        <f ca="1">IF(Z70 ="∞", 2, IF(ISNUMBER(Z70), IF(Z70 &gt; 1000000, 2,_xlfn.T.INV.2T(1-0.9545,Z70))))</f>
        <v>2.0027809239056182</v>
      </c>
      <c r="AA72" s="481">
        <f ca="1">IF(AA70 ="∞", 2, IF(ISNUMBER(AA70), IF(AA70 &gt; 1000000, 2,_xlfn.T.INV.2T(1-0.9545,AA70))))</f>
        <v>2.002359218102745</v>
      </c>
      <c r="AB72" s="481">
        <f ca="1">IF(AB70 ="∞", 2, IF(ISNUMBER(AB70), IF(AB70 &gt; 1000000, 2,_xlfn.T.INV.2T(1-0.9545,AB70))))</f>
        <v>2.0099715150226753</v>
      </c>
      <c r="AC72" s="482">
        <f ca="1">IF(AC70 ="∞", 2, IF(ISNUMBER(AC70), IF(AC70 &gt; 1000000, 2,_xlfn.T.INV.2T(1-0.9545,AC70))))</f>
        <v>2.002359218102745</v>
      </c>
      <c r="AD72" s="218"/>
      <c r="AE72" s="218"/>
      <c r="AF72" s="218"/>
      <c r="AG72" s="218"/>
      <c r="AH72" s="218"/>
    </row>
    <row r="73" spans="2:34" ht="15.75" thickBot="1"/>
    <row r="74" spans="2:34" ht="15.75" thickBot="1">
      <c r="B74" s="478" t="s">
        <v>149</v>
      </c>
      <c r="C74" s="1009" t="s">
        <v>148</v>
      </c>
      <c r="D74" s="1009"/>
      <c r="E74" s="1009"/>
      <c r="F74" s="479" t="s">
        <v>62</v>
      </c>
      <c r="G74" s="477" t="s">
        <v>63</v>
      </c>
      <c r="H74" s="479" t="s">
        <v>116</v>
      </c>
      <c r="I74" s="477" t="str">
        <f>IF($L74 = 0.25, 'Cadastro - Padrões Absorbância'!D$16, IF($L74 = 0.5, 'Cadastro - Padrões Absorbância'!D$15, 'Cadastro - Padrões Absorbância'!D$14))</f>
        <v>39343-5D</v>
      </c>
      <c r="J74" s="1011" t="s">
        <v>314</v>
      </c>
      <c r="K74" s="1011"/>
      <c r="L74" s="512">
        <v>0.25</v>
      </c>
      <c r="M74" s="1011" t="s">
        <v>162</v>
      </c>
      <c r="N74" s="1011"/>
      <c r="O74" s="253">
        <f>IF($AA74 = 1, VLOOKUP($I74,'Cadastro - Padrões Absorbância'!$D$7:$K$9,4,FALSE), IF($AA74 = 5, VLOOKUP($I74,'Cadastro - Padrões Absorbância'!$D$10:$K$12, 4,FALSE)))</f>
        <v>0.26579999999999998</v>
      </c>
      <c r="P74" s="253">
        <f>IF($AA74 = 1, VLOOKUP($I74,'Cadastro - Padrões Absorbância'!$D$7:$K$9,5,FALSE), IF($AA74 = 5, VLOOKUP($I74,'Cadastro - Padrões Absorbância'!$D$10:$K$12, 5,FALSE)))</f>
        <v>0.2407</v>
      </c>
      <c r="Q74" s="253">
        <f>IF($AA74 = 1, VLOOKUP($I74,'Cadastro - Padrões Absorbância'!$D$7:$K$9,6,FALSE), IF($AA74 = 5, VLOOKUP($I74,'Cadastro - Padrões Absorbância'!$D$10:$K$12, 6,FALSE)))</f>
        <v>0.25009999999999999</v>
      </c>
      <c r="R74" s="253">
        <f>IF($AA74 = 1, VLOOKUP($I74,'Cadastro - Padrões Absorbância'!$D$7:$K$9,7,FALSE), IF($AA74 = 5, VLOOKUP($I74,'Cadastro - Padrões Absorbância'!$D$10:$K$12, 7,FALSE)))</f>
        <v>0.29370000000000002</v>
      </c>
      <c r="S74" s="253">
        <f>IF($AA74 = 1, VLOOKUP($I74,'Cadastro - Padrões Absorbância'!$D$7:$K$9,8,FALSE), IF($AA74 = 5, VLOOKUP($I74,'Cadastro - Padrões Absorbância'!$D$10:$K$12, 8,FALSE)))</f>
        <v>0.30180000000000001</v>
      </c>
      <c r="T74" s="1017" t="str">
        <f xml:space="preserve"> CONCATENATE("Densidade neutra ", L74, " A")</f>
        <v>Densidade neutra 0,25 A</v>
      </c>
      <c r="U74" s="1010"/>
      <c r="V74" s="271" t="s">
        <v>176</v>
      </c>
      <c r="W74" s="1010" t="str">
        <f>CONCATENATE(L74, " A", " – ",I74)</f>
        <v>0,25 A – 39343-5D</v>
      </c>
      <c r="X74" s="1015"/>
      <c r="Y74" s="1016" t="s">
        <v>164</v>
      </c>
      <c r="Z74" s="1011"/>
      <c r="AA74" s="491">
        <v>5</v>
      </c>
      <c r="AB74" s="1011" t="s">
        <v>307</v>
      </c>
      <c r="AC74" s="1011"/>
      <c r="AD74" s="493">
        <f>VLOOKUP($I74,'Cadastro - Padrões Absorbância'!$D$7:$Q$12,14,FALSE)</f>
        <v>44414</v>
      </c>
      <c r="AE74" s="254"/>
      <c r="AF74" s="254"/>
      <c r="AG74" s="254"/>
      <c r="AH74" s="272"/>
    </row>
    <row r="75" spans="2:34" ht="3.75" customHeight="1" thickBot="1">
      <c r="B75" s="185"/>
      <c r="C75" s="185"/>
      <c r="D75" s="186"/>
      <c r="E75" s="186"/>
      <c r="F75" s="185"/>
      <c r="G75" s="186"/>
      <c r="H75" s="185"/>
      <c r="I75" s="186"/>
      <c r="J75" s="186"/>
      <c r="K75" s="186"/>
      <c r="L75" s="185"/>
      <c r="M75" s="185"/>
      <c r="N75" s="185"/>
      <c r="O75" s="187"/>
      <c r="P75" s="188"/>
      <c r="Q75" s="188"/>
      <c r="R75" s="189"/>
      <c r="S75" s="189"/>
      <c r="AH75" s="270"/>
    </row>
    <row r="76" spans="2:34" ht="15.75" thickBot="1">
      <c r="B76" s="998" t="s">
        <v>117</v>
      </c>
      <c r="C76" s="999"/>
      <c r="D76" s="999"/>
      <c r="E76" s="999"/>
      <c r="F76" s="999"/>
      <c r="G76" s="999"/>
      <c r="H76" s="999"/>
      <c r="I76" s="999"/>
      <c r="J76" s="999"/>
      <c r="K76" s="999"/>
      <c r="L76" s="999"/>
      <c r="M76" s="999"/>
      <c r="N76" s="999"/>
      <c r="O76" s="1000"/>
      <c r="P76" s="995" t="s">
        <v>118</v>
      </c>
      <c r="Q76" s="996"/>
      <c r="R76" s="996"/>
      <c r="S76" s="997"/>
      <c r="T76" s="976" t="s">
        <v>119</v>
      </c>
      <c r="U76" s="977"/>
      <c r="V76" s="977"/>
      <c r="W76" s="977"/>
      <c r="X76" s="978"/>
      <c r="Y76" s="976" t="s">
        <v>120</v>
      </c>
      <c r="Z76" s="977"/>
      <c r="AA76" s="977"/>
      <c r="AB76" s="977"/>
      <c r="AC76" s="978"/>
      <c r="AD76" s="976" t="s">
        <v>121</v>
      </c>
      <c r="AE76" s="977"/>
      <c r="AF76" s="977"/>
      <c r="AG76" s="977"/>
      <c r="AH76" s="978"/>
    </row>
    <row r="77" spans="2:34" ht="15.75" thickBot="1">
      <c r="B77" s="190" t="s">
        <v>122</v>
      </c>
      <c r="C77" s="998" t="s">
        <v>123</v>
      </c>
      <c r="D77" s="999"/>
      <c r="E77" s="999"/>
      <c r="F77" s="1000"/>
      <c r="G77" s="176">
        <v>440</v>
      </c>
      <c r="H77" s="176">
        <v>465</v>
      </c>
      <c r="I77" s="176">
        <v>546.1</v>
      </c>
      <c r="J77" s="176">
        <v>590</v>
      </c>
      <c r="K77" s="177">
        <v>635</v>
      </c>
      <c r="L77" s="476" t="s">
        <v>124</v>
      </c>
      <c r="M77" s="192" t="s">
        <v>125</v>
      </c>
      <c r="N77" s="193" t="s">
        <v>126</v>
      </c>
      <c r="O77" s="192" t="s">
        <v>127</v>
      </c>
      <c r="P77" s="194" t="s">
        <v>128</v>
      </c>
      <c r="Q77" s="1001" t="s">
        <v>124</v>
      </c>
      <c r="R77" s="1002"/>
      <c r="S77" s="1003"/>
      <c r="T77" s="257" t="s">
        <v>166</v>
      </c>
      <c r="U77" s="258" t="s">
        <v>167</v>
      </c>
      <c r="V77" s="258" t="s">
        <v>168</v>
      </c>
      <c r="W77" s="258" t="s">
        <v>169</v>
      </c>
      <c r="X77" s="259" t="s">
        <v>170</v>
      </c>
      <c r="Y77" s="257" t="s">
        <v>166</v>
      </c>
      <c r="Z77" s="258" t="s">
        <v>167</v>
      </c>
      <c r="AA77" s="258" t="s">
        <v>168</v>
      </c>
      <c r="AB77" s="258" t="s">
        <v>169</v>
      </c>
      <c r="AC77" s="259" t="s">
        <v>170</v>
      </c>
      <c r="AD77" s="257" t="s">
        <v>166</v>
      </c>
      <c r="AE77" s="258" t="s">
        <v>167</v>
      </c>
      <c r="AF77" s="258" t="s">
        <v>168</v>
      </c>
      <c r="AG77" s="258" t="s">
        <v>169</v>
      </c>
      <c r="AH77" s="259" t="s">
        <v>170</v>
      </c>
    </row>
    <row r="78" spans="2:34">
      <c r="B78" s="205" t="s">
        <v>139</v>
      </c>
      <c r="C78" s="982" t="s">
        <v>165</v>
      </c>
      <c r="D78" s="992"/>
      <c r="E78" s="992"/>
      <c r="F78" s="984"/>
      <c r="G78" s="513">
        <f>IF($AA74 = 1, VLOOKUP($I74,'Cadastro - Padrões Absorbância'!$D$7:$P$9,9,FALSE), IF($AA74 = 5, VLOOKUP($I74,'Cadastro - Padrões Absorbância'!$D$10:$P$12, 9,FALSE)))</f>
        <v>4.0000000000000001E-3</v>
      </c>
      <c r="H78" s="513">
        <f>IF($AA74 = 1, VLOOKUP($I74,'Cadastro - Padrões Absorbância'!$D$7:$P$9,10,FALSE), IF($AA74 = 5, VLOOKUP($I74,'Cadastro - Padrões Absorbância'!$D$10:$P$12, 10,FALSE)))</f>
        <v>4.0000000000000001E-3</v>
      </c>
      <c r="I78" s="513">
        <f>IF($AA74 = 1, VLOOKUP($I74,'Cadastro - Padrões Absorbância'!$D$7:$P$9,11,FALSE), IF($AA74 = 5, VLOOKUP($I74,'Cadastro - Padrões Absorbância'!$D$10:$P$12, 11,FALSE)))</f>
        <v>4.0000000000000001E-3</v>
      </c>
      <c r="J78" s="513">
        <f>IF($AA74 = 1, VLOOKUP($I74,'Cadastro - Padrões Absorbância'!$D$7:$P$9,12,FALSE), IF($AA74 = 5, VLOOKUP($I74,'Cadastro - Padrões Absorbância'!$D$10:$P$12, 12,FALSE)))</f>
        <v>4.0000000000000001E-3</v>
      </c>
      <c r="K78" s="513">
        <f>IF($AA74 = 1, VLOOKUP($I74,'Cadastro - Padrões Absorbância'!$D$7:$P$9,13,FALSE), IF($AA74 = 5, VLOOKUP($I74,'Cadastro - Padrões Absorbância'!$D$10:$P$12, 13,FALSE)))</f>
        <v>4.0000000000000001E-3</v>
      </c>
      <c r="L78" s="198" t="s">
        <v>59</v>
      </c>
      <c r="M78" s="196" t="s">
        <v>136</v>
      </c>
      <c r="N78" s="196" t="s">
        <v>132</v>
      </c>
      <c r="O78" s="198">
        <v>2</v>
      </c>
      <c r="P78" s="196">
        <v>1</v>
      </c>
      <c r="Q78" s="196" t="s">
        <v>130</v>
      </c>
      <c r="R78" s="196" t="s">
        <v>133</v>
      </c>
      <c r="S78" s="198" t="s">
        <v>130</v>
      </c>
      <c r="T78" s="525">
        <f>IF(ISNUMBER(G78),G78/$O$10,"")</f>
        <v>2E-3</v>
      </c>
      <c r="U78" s="526">
        <f>IF(ISNUMBER(H78),H78/$O$10,"")</f>
        <v>2E-3</v>
      </c>
      <c r="V78" s="526">
        <f>IF(ISNUMBER(I78),I78/$O$10,"")</f>
        <v>2E-3</v>
      </c>
      <c r="W78" s="526">
        <f>IF(ISNUMBER(J78),J78/$O$10,"")</f>
        <v>2E-3</v>
      </c>
      <c r="X78" s="527">
        <f>IF(ISNUMBER(K78),K78/$O$10,"")</f>
        <v>2E-3</v>
      </c>
      <c r="Y78" s="207" t="s">
        <v>138</v>
      </c>
      <c r="Z78" s="207" t="s">
        <v>138</v>
      </c>
      <c r="AA78" s="207" t="s">
        <v>138</v>
      </c>
      <c r="AB78" s="207" t="s">
        <v>138</v>
      </c>
      <c r="AC78" s="208" t="s">
        <v>138</v>
      </c>
      <c r="AD78" s="202">
        <f ca="1">IF(ISNUMBER(T78),IF(ISNUMBER(T$83),(T78^2)/(T$83^2),""),"")</f>
        <v>0.96455332943615135</v>
      </c>
      <c r="AE78" s="203">
        <f t="shared" ref="AE78:AH81" ca="1" si="12">IF(ISNUMBER(U78),IF(ISNUMBER(U$83),(U78^2)/(U$83^2),""),"")</f>
        <v>0.92284775117431483</v>
      </c>
      <c r="AF78" s="203">
        <f t="shared" ca="1" si="12"/>
        <v>0.92742922224409452</v>
      </c>
      <c r="AG78" s="203">
        <f t="shared" ca="1" si="12"/>
        <v>0.87267187019305692</v>
      </c>
      <c r="AH78" s="204">
        <f t="shared" ca="1" si="12"/>
        <v>0.94110174366319954</v>
      </c>
    </row>
    <row r="79" spans="2:34">
      <c r="B79" s="268" t="s">
        <v>140</v>
      </c>
      <c r="C79" s="1012" t="s">
        <v>454</v>
      </c>
      <c r="D79" s="1013"/>
      <c r="E79" s="1013"/>
      <c r="F79" s="1014"/>
      <c r="G79" s="517">
        <f ca="1">IF($AD74 = "", G78, ABS((((YEAR(TODAY())-YEAR($AD74))*12 - MONTH($AD74) + MONTH(TODAY())))*VLOOKUP($L$6,'Cadastro - Padrões Absorbância'!$F$41:$P$43,7,FALSE)))</f>
        <v>1.1818181818181779E-4</v>
      </c>
      <c r="H79" s="517">
        <f ca="1">IF($AD74 = "", H78, ABS((((YEAR(TODAY())-YEAR($AD74))*12 - MONTH($AD74) + MONTH(TODAY())))*VLOOKUP($L$6,'Cadastro - Padrões Absorbância'!$F$41:$P$43,8,FALSE)))</f>
        <v>1.1363636363636247E-4</v>
      </c>
      <c r="I79" s="517">
        <f ca="1">IF($AD74 = "", I78, ABS((((YEAR(TODAY())-YEAR($AD74))*12 - MONTH($AD74) + MONTH(TODAY())))*VLOOKUP($L$6,'Cadastro - Padrões Absorbância'!$F$41:$P$43,9,FALSE)))</f>
        <v>7.7272727272726337E-5</v>
      </c>
      <c r="J79" s="517">
        <f ca="1">IF($AD74 = "", J78, ABS((((YEAR(TODAY())-YEAR($AD74))*12 - MONTH($AD74) + MONTH(TODAY())))*VLOOKUP($L$6,'Cadastro - Padrões Absorbância'!$F$41:$P$43,10,FALSE)))</f>
        <v>5.9090909090907626E-5</v>
      </c>
      <c r="K79" s="517">
        <f ca="1">IF($AD74 = "", K78, ABS((((YEAR(TODAY())-YEAR($AD74))*12 - MONTH($AD74) + MONTH(TODAY())))*VLOOKUP($L$6,'Cadastro - Padrões Absorbância'!$F$41:$P$43,11,FALSE)))</f>
        <v>6.3636363636364196E-5</v>
      </c>
      <c r="L79" s="198" t="s">
        <v>59</v>
      </c>
      <c r="M79" s="256" t="s">
        <v>136</v>
      </c>
      <c r="N79" s="256" t="s">
        <v>137</v>
      </c>
      <c r="O79" s="198">
        <f>SQRT(12)</f>
        <v>3.4641016151377544</v>
      </c>
      <c r="P79" s="256">
        <v>1</v>
      </c>
      <c r="Q79" s="256" t="s">
        <v>130</v>
      </c>
      <c r="R79" s="256" t="s">
        <v>133</v>
      </c>
      <c r="S79" s="198" t="s">
        <v>130</v>
      </c>
      <c r="T79" s="206">
        <f ca="1">IF(ISNUMBER(G79),G79/$O$11,"")</f>
        <v>3.4116152270295958E-5</v>
      </c>
      <c r="U79" s="256">
        <f ca="1">IF(ISNUMBER(H79),H79/$O$11,"")</f>
        <v>3.2803992567592039E-5</v>
      </c>
      <c r="V79" s="256">
        <f ca="1">IF(ISNUMBER(I79),I79/$O$11,"")</f>
        <v>2.2306714945962546E-5</v>
      </c>
      <c r="W79" s="256">
        <f ca="1">IF(ISNUMBER(J79),J79/$O$11,"")</f>
        <v>1.7058076135147613E-5</v>
      </c>
      <c r="X79" s="198">
        <f ca="1">IF(ISNUMBER(K79),K79/$O$11,"")</f>
        <v>1.8370235837851891E-5</v>
      </c>
      <c r="Y79" s="269" t="s">
        <v>138</v>
      </c>
      <c r="Z79" s="269" t="s">
        <v>138</v>
      </c>
      <c r="AA79" s="269" t="s">
        <v>138</v>
      </c>
      <c r="AB79" s="269" t="s">
        <v>138</v>
      </c>
      <c r="AC79" s="208" t="s">
        <v>138</v>
      </c>
      <c r="AD79" s="209">
        <f t="shared" ref="AD79:AD81" ca="1" si="13">IF(ISNUMBER(T79),IF(ISNUMBER(T$83),(T79^2)/(T$83^2),""),"")</f>
        <v>2.8066376149226676E-4</v>
      </c>
      <c r="AE79" s="266">
        <f t="shared" ca="1" si="12"/>
        <v>2.4826956115871858E-4</v>
      </c>
      <c r="AF79" s="266">
        <f t="shared" ca="1" si="12"/>
        <v>1.1536976809079584E-4</v>
      </c>
      <c r="AG79" s="266">
        <f t="shared" ca="1" si="12"/>
        <v>6.3482070447064116E-5</v>
      </c>
      <c r="AH79" s="210">
        <f t="shared" ca="1" si="12"/>
        <v>7.9397357850374644E-5</v>
      </c>
    </row>
    <row r="80" spans="2:34">
      <c r="B80" s="267" t="s">
        <v>129</v>
      </c>
      <c r="C80" s="982" t="s">
        <v>175</v>
      </c>
      <c r="D80" s="983"/>
      <c r="E80" s="983"/>
      <c r="F80" s="984"/>
      <c r="G80" s="196">
        <f>'Registro Tratado'!N$396</f>
        <v>2.4999999999997247E-4</v>
      </c>
      <c r="H80" s="196">
        <f>'Registro Tratado'!O$396</f>
        <v>5.0000000000000044E-4</v>
      </c>
      <c r="I80" s="196">
        <f>'Registro Tratado'!P$396</f>
        <v>4.787135538781453E-4</v>
      </c>
      <c r="J80" s="196">
        <f>'Registro Tratado'!Q$396</f>
        <v>7.071067811865744E-4</v>
      </c>
      <c r="K80" s="196">
        <f>'Registro Tratado'!R$396</f>
        <v>4.0824829046386341E-4</v>
      </c>
      <c r="L80" s="198" t="s">
        <v>59</v>
      </c>
      <c r="M80" s="196" t="s">
        <v>131</v>
      </c>
      <c r="N80" s="196" t="s">
        <v>132</v>
      </c>
      <c r="O80" s="198">
        <v>1</v>
      </c>
      <c r="P80" s="196">
        <v>1</v>
      </c>
      <c r="Q80" s="256" t="s">
        <v>130</v>
      </c>
      <c r="R80" s="256" t="s">
        <v>133</v>
      </c>
      <c r="S80" s="198" t="s">
        <v>130</v>
      </c>
      <c r="T80" s="206">
        <f>IF(ISNUMBER(G80),G80/$O$12,"")</f>
        <v>2.4999999999997247E-4</v>
      </c>
      <c r="U80" s="256">
        <f>IF(ISNUMBER(H80),H80/$O$12,"")</f>
        <v>5.0000000000000044E-4</v>
      </c>
      <c r="V80" s="256">
        <f>IF(ISNUMBER(I80),I80/$O$12,"")</f>
        <v>4.787135538781453E-4</v>
      </c>
      <c r="W80" s="256">
        <f>IF(ISNUMBER(J80),J80/$O$12,"")</f>
        <v>7.071067811865744E-4</v>
      </c>
      <c r="X80" s="198">
        <f>IF(ISNUMBER(K80),K80/$O$12,"")</f>
        <v>4.0824829046386341E-4</v>
      </c>
      <c r="Y80" s="201">
        <f>VLOOKUP($I74,'Registro Tratado'!$F$362:$R$400, 9, FALSE) - 1</f>
        <v>3</v>
      </c>
      <c r="Z80" s="201">
        <f>VLOOKUP($I74,'Registro Tratado'!$F$362:$R$400, 10, FALSE) - 1</f>
        <v>3</v>
      </c>
      <c r="AA80" s="201">
        <f>VLOOKUP($I74,'Registro Tratado'!$F$362:$R$400, 11, FALSE) - 1</f>
        <v>3</v>
      </c>
      <c r="AB80" s="201">
        <f>VLOOKUP($I74,'Registro Tratado'!$F$362:$R$400, 12, FALSE) - 1</f>
        <v>3</v>
      </c>
      <c r="AC80" s="201">
        <f>VLOOKUP($I74,'Registro Tratado'!$F$362:$R$400, 13, FALSE) - 1</f>
        <v>3</v>
      </c>
      <c r="AD80" s="209">
        <f t="shared" ca="1" si="13"/>
        <v>1.5071145772436545E-2</v>
      </c>
      <c r="AE80" s="266">
        <f t="shared" ca="1" si="12"/>
        <v>5.7677984448394788E-2</v>
      </c>
      <c r="AF80" s="266">
        <f t="shared" ca="1" si="12"/>
        <v>5.3133965857729309E-2</v>
      </c>
      <c r="AG80" s="266">
        <f t="shared" ca="1" si="12"/>
        <v>0.1090839837741404</v>
      </c>
      <c r="AH80" s="210">
        <f t="shared" ca="1" si="12"/>
        <v>3.9212572652633393E-2</v>
      </c>
    </row>
    <row r="81" spans="2:34" ht="15.75" thickBot="1">
      <c r="B81" s="205" t="s">
        <v>134</v>
      </c>
      <c r="C81" s="973" t="s">
        <v>135</v>
      </c>
      <c r="D81" s="974"/>
      <c r="E81" s="974"/>
      <c r="F81" s="975"/>
      <c r="G81" s="213">
        <f>IF(ISNUMBER('Registro Original'!$G$46),'Registro Original'!$G$46,"")</f>
        <v>1E-3</v>
      </c>
      <c r="H81" s="213">
        <f>IF(ISNUMBER('Registro Original'!$G$46),'Registro Original'!$G$46,"")</f>
        <v>1E-3</v>
      </c>
      <c r="I81" s="213">
        <f>IF(ISNUMBER('Registro Original'!$G$46),'Registro Original'!$G$46,"")</f>
        <v>1E-3</v>
      </c>
      <c r="J81" s="213">
        <f>IF(ISNUMBER('Registro Original'!$G$46),'Registro Original'!$G$46,"")</f>
        <v>1E-3</v>
      </c>
      <c r="K81" s="213">
        <f>IF(ISNUMBER('Registro Original'!$G$46),'Registro Original'!$G$46,"")</f>
        <v>1E-3</v>
      </c>
      <c r="L81" s="212" t="s">
        <v>59</v>
      </c>
      <c r="M81" s="213" t="s">
        <v>136</v>
      </c>
      <c r="N81" s="213" t="s">
        <v>137</v>
      </c>
      <c r="O81" s="212">
        <f>SQRT(12)</f>
        <v>3.4641016151377544</v>
      </c>
      <c r="P81" s="213">
        <v>1</v>
      </c>
      <c r="Q81" s="213" t="s">
        <v>130</v>
      </c>
      <c r="R81" s="213" t="s">
        <v>133</v>
      </c>
      <c r="S81" s="212" t="s">
        <v>130</v>
      </c>
      <c r="T81" s="214">
        <f>IF(ISNUMBER(G81),G81/$O$13,"")</f>
        <v>2.886751345948129E-4</v>
      </c>
      <c r="U81" s="213">
        <f>IF(ISNUMBER(H81),H81/$O$13,"")</f>
        <v>2.886751345948129E-4</v>
      </c>
      <c r="V81" s="213">
        <f>IF(ISNUMBER(I81),I81/$O$13,"")</f>
        <v>2.886751345948129E-4</v>
      </c>
      <c r="W81" s="213">
        <f>IF(ISNUMBER(J81),J81/$O$13,"")</f>
        <v>2.886751345948129E-4</v>
      </c>
      <c r="X81" s="212">
        <f>IF(ISNUMBER(K81),K81/$O$13,"")</f>
        <v>2.886751345948129E-4</v>
      </c>
      <c r="Y81" s="207" t="s">
        <v>138</v>
      </c>
      <c r="Z81" s="207" t="s">
        <v>138</v>
      </c>
      <c r="AA81" s="207" t="s">
        <v>138</v>
      </c>
      <c r="AB81" s="207" t="s">
        <v>138</v>
      </c>
      <c r="AC81" s="208" t="s">
        <v>138</v>
      </c>
      <c r="AD81" s="215">
        <f t="shared" ca="1" si="13"/>
        <v>2.0094861029919822E-2</v>
      </c>
      <c r="AE81" s="216">
        <f t="shared" ca="1" si="12"/>
        <v>1.9225994816131561E-2</v>
      </c>
      <c r="AF81" s="216">
        <f t="shared" ca="1" si="12"/>
        <v>1.9321442130085305E-2</v>
      </c>
      <c r="AG81" s="216">
        <f t="shared" ca="1" si="12"/>
        <v>1.8180663962355355E-2</v>
      </c>
      <c r="AH81" s="217">
        <f t="shared" ca="1" si="12"/>
        <v>1.9606286326316658E-2</v>
      </c>
    </row>
    <row r="82" spans="2:34" ht="15.75" thickBot="1">
      <c r="B82" s="218"/>
      <c r="C82" s="219"/>
      <c r="D82" s="219"/>
      <c r="E82" s="219"/>
      <c r="F82" s="219"/>
      <c r="G82" s="196"/>
      <c r="H82" s="196"/>
      <c r="I82" s="196"/>
      <c r="J82" s="196"/>
      <c r="K82" s="196"/>
      <c r="L82" s="196"/>
      <c r="M82" s="196"/>
      <c r="N82" s="196"/>
      <c r="O82" s="196"/>
      <c r="P82" s="196"/>
      <c r="Q82" s="196"/>
      <c r="R82" s="196"/>
      <c r="S82" s="196"/>
      <c r="T82" s="196"/>
      <c r="U82" s="196"/>
      <c r="V82" s="196"/>
      <c r="W82" s="196"/>
      <c r="X82" s="196"/>
      <c r="Y82" s="976" t="s">
        <v>141</v>
      </c>
      <c r="Z82" s="977"/>
      <c r="AA82" s="977"/>
      <c r="AB82" s="977"/>
      <c r="AC82" s="978"/>
      <c r="AD82" s="196"/>
      <c r="AE82" s="196"/>
      <c r="AF82" s="196"/>
      <c r="AG82" s="196"/>
      <c r="AH82" s="196"/>
    </row>
    <row r="83" spans="2:34" ht="15.75" thickBot="1">
      <c r="B83" s="195" t="s">
        <v>142</v>
      </c>
      <c r="C83" s="993" t="s">
        <v>143</v>
      </c>
      <c r="D83" s="993"/>
      <c r="E83" s="993"/>
      <c r="F83" s="993"/>
      <c r="G83" s="993"/>
      <c r="H83" s="993"/>
      <c r="I83" s="993"/>
      <c r="J83" s="993"/>
      <c r="K83" s="993"/>
      <c r="L83" s="993"/>
      <c r="M83" s="993"/>
      <c r="N83" s="993"/>
      <c r="O83" s="993"/>
      <c r="P83" s="993"/>
      <c r="Q83" s="993"/>
      <c r="R83" s="994"/>
      <c r="S83" s="220" t="s">
        <v>130</v>
      </c>
      <c r="T83" s="221">
        <f ca="1" xml:space="preserve"> IF(ISNUMBER(T80),SQRT(SUMSQ($P80*T80,$P81*T81,$P78*T78,$P79*T79)),"")</f>
        <v>2.0364177481987946E-3</v>
      </c>
      <c r="U83" s="222">
        <f ca="1" xml:space="preserve"> IF(ISNUMBER(U80),SQRT(SUMSQ($P80*U80,$P81*U81,$P78*U78,$P79*U79)),"")</f>
        <v>2.0819244547441457E-3</v>
      </c>
      <c r="V83" s="222">
        <f ca="1" xml:space="preserve"> IF(ISNUMBER(V80),SQRT(SUMSQ($P80*V80,$P81*V81,$P78*V78,$P79*V79)),"")</f>
        <v>2.076775767754347E-3</v>
      </c>
      <c r="W83" s="222">
        <f ca="1" xml:space="preserve"> IF(ISNUMBER(W80),SQRT(SUMSQ($P80*W80,$P81*W81,$P78*W78,$P79*W79)),"")</f>
        <v>2.1409400531763622E-3</v>
      </c>
      <c r="X83" s="223">
        <f ca="1" xml:space="preserve"> IF(ISNUMBER(X80),SQRT(SUMSQ($P80*X80,$P81*X81,$P78*X78,$P79*X79)),"")</f>
        <v>2.0616346586058206E-3</v>
      </c>
      <c r="Y83" s="531">
        <f ca="1">IF(Y80="","",IF(T80 = 0, "∞", IF((T83^4)/((T80^4)/Y80) &gt; 1000000, "∞", (T83^4)/((T80^4)/Y80))))</f>
        <v>13207.746164375194</v>
      </c>
      <c r="Z83" s="532">
        <f ca="1">IF(Z80="","",IF(U80 = 0, "∞", IF((U83^4)/((U80^4)/Z80) &gt; 1000000, "∞", (U83^4)/((U80^4)/Z80))))</f>
        <v>901.78104731931137</v>
      </c>
      <c r="AA83" s="532">
        <f ca="1">IF(AA80="","",IF(V80 = 0, "∞", IF((V83^4)/((V80^4)/AA80) &gt; 1000000, "∞", (V83^4)/((V80^4)/AA80))))</f>
        <v>1062.6170744539158</v>
      </c>
      <c r="AB83" s="532">
        <f ca="1">IF(AB80="","",IF(W80 = 0, "∞", IF((W83^4)/((W80^4)/AB80) &gt; 1000000, "∞", (W83^4)/((W80^4)/AB80))))</f>
        <v>252.11534192507494</v>
      </c>
      <c r="AC83" s="533">
        <f ca="1">IF(AC80="","",IF(V80 = 0, "∞", IF((V83^4)/((V80^4)/AC80) &gt; 1000000, "∞", (V83^4)/((V80^4)/AC80))))</f>
        <v>1062.6170744539158</v>
      </c>
      <c r="AD83" s="218"/>
      <c r="AE83" s="218"/>
      <c r="AF83" s="218"/>
      <c r="AG83" s="218"/>
      <c r="AH83" s="218"/>
    </row>
    <row r="84" spans="2:34">
      <c r="B84" s="205" t="s">
        <v>144</v>
      </c>
      <c r="C84" s="985" t="s">
        <v>145</v>
      </c>
      <c r="D84" s="985"/>
      <c r="E84" s="985"/>
      <c r="F84" s="985"/>
      <c r="G84" s="985"/>
      <c r="H84" s="985"/>
      <c r="I84" s="985"/>
      <c r="J84" s="985"/>
      <c r="K84" s="985"/>
      <c r="L84" s="985"/>
      <c r="M84" s="985"/>
      <c r="N84" s="985"/>
      <c r="O84" s="985"/>
      <c r="P84" s="985"/>
      <c r="Q84" s="985"/>
      <c r="R84" s="986"/>
      <c r="S84" s="224" t="s">
        <v>130</v>
      </c>
      <c r="T84" s="225">
        <f ca="1">IF(ISNUMBER(Y85),T83*Y85,"")</f>
        <v>4.0732259909372478E-3</v>
      </c>
      <c r="U84" s="226">
        <f ca="1">IF(ISNUMBER(Z85),U83*Z85,"")</f>
        <v>4.1696385829741809E-3</v>
      </c>
      <c r="V84" s="226">
        <f ca="1">IF(ISNUMBER(AA85),V83*AA85,"")</f>
        <v>4.1584511024953218E-3</v>
      </c>
      <c r="W84" s="226">
        <f ca="1">IF(ISNUMBER(AB85),W83*AB85,"")</f>
        <v>4.3032285222556199E-3</v>
      </c>
      <c r="X84" s="226">
        <f ca="1">IF(ISNUMBER(AC85),X83*AC85,"")</f>
        <v>4.1281331630194703E-3</v>
      </c>
      <c r="Y84" s="976" t="s">
        <v>146</v>
      </c>
      <c r="Z84" s="977"/>
      <c r="AA84" s="977"/>
      <c r="AB84" s="977"/>
      <c r="AC84" s="978"/>
      <c r="AD84" s="218"/>
      <c r="AE84" s="218"/>
      <c r="AF84" s="218"/>
      <c r="AG84" s="218"/>
      <c r="AH84" s="218"/>
    </row>
    <row r="85" spans="2:34" ht="15.75" thickBot="1">
      <c r="B85" s="211" t="s">
        <v>144</v>
      </c>
      <c r="C85" s="987" t="s">
        <v>147</v>
      </c>
      <c r="D85" s="987"/>
      <c r="E85" s="987"/>
      <c r="F85" s="987"/>
      <c r="G85" s="987"/>
      <c r="H85" s="987"/>
      <c r="I85" s="987"/>
      <c r="J85" s="987"/>
      <c r="K85" s="987"/>
      <c r="L85" s="987"/>
      <c r="M85" s="987"/>
      <c r="N85" s="987"/>
      <c r="O85" s="987"/>
      <c r="P85" s="987"/>
      <c r="Q85" s="987"/>
      <c r="R85" s="988"/>
      <c r="S85" s="227" t="s">
        <v>130</v>
      </c>
      <c r="T85" s="518">
        <f ca="1">IF(ISNUMBER(T84), IF(((T84-ROUNDDOWN(T84,2))/T84)*100 &gt; 5,ROUNDUP(T84,2), ROUNDDOWN(T84,2)),"")</f>
        <v>0.01</v>
      </c>
      <c r="U85" s="518">
        <f ca="1">IF(ISNUMBER(U84), IF(((U84-ROUNDDOWN(U84,2))/U84)*100 &gt; 5,ROUNDUP(U84,2), ROUNDDOWN(U84,2)),"")</f>
        <v>0.01</v>
      </c>
      <c r="V85" s="518">
        <f ca="1">IF(ISNUMBER(V84), IF(((V84-ROUNDDOWN(V84,2))/V84)*100 &gt; 5,ROUNDUP(V84,2), ROUNDDOWN(V84,2)),"")</f>
        <v>0.01</v>
      </c>
      <c r="W85" s="518">
        <f ca="1">IF(ISNUMBER(W84), IF(((W84-ROUNDDOWN(W84,2))/W84)*100 &gt; 5,ROUNDUP(W84,2), ROUNDDOWN(W84,2)),"")</f>
        <v>0.01</v>
      </c>
      <c r="X85" s="518">
        <f ca="1">IF(ISNUMBER(X84), IF(((X84-ROUNDDOWN(X84,2))/X84)*100 &gt; 5,ROUNDUP(X84,2), ROUNDDOWN(X84,2)),"")</f>
        <v>0.01</v>
      </c>
      <c r="Y85" s="480">
        <f ca="1">IF(Y83 ="∞", 2, IF(ISNUMBER(Y83), IF(Y83 &gt; 1000000, 2,_xlfn.T.INV.2T(1-0.9545,Y83))))</f>
        <v>2.0001917556159605</v>
      </c>
      <c r="Z85" s="481">
        <f ca="1">IF(Z83 ="∞", 2, IF(ISNUMBER(Z83), IF(Z83 &gt; 1000000, 2,_xlfn.T.INV.2T(1-0.9545,Z83))))</f>
        <v>2.0027809239056182</v>
      </c>
      <c r="AA85" s="481">
        <f ca="1">IF(AA83 ="∞", 2, IF(ISNUMBER(AA83), IF(AA83 &gt; 1000000, 2,_xlfn.T.INV.2T(1-0.9545,AA83))))</f>
        <v>2.002359218102745</v>
      </c>
      <c r="AB85" s="481">
        <f ca="1">IF(AB83 ="∞", 2, IF(ISNUMBER(AB83), IF(AB83 &gt; 1000000, 2,_xlfn.T.INV.2T(1-0.9545,AB83))))</f>
        <v>2.0099715150226753</v>
      </c>
      <c r="AC85" s="482">
        <f ca="1">IF(AC83 ="∞", 2, IF(ISNUMBER(AC83), IF(AC83 &gt; 1000000, 2,_xlfn.T.INV.2T(1-0.9545,AC83))))</f>
        <v>2.002359218102745</v>
      </c>
      <c r="AD85" s="218"/>
      <c r="AE85" s="218"/>
      <c r="AF85" s="218"/>
      <c r="AG85" s="218"/>
      <c r="AH85" s="218"/>
    </row>
  </sheetData>
  <mergeCells count="143">
    <mergeCell ref="C23:F23"/>
    <mergeCell ref="C24:F24"/>
    <mergeCell ref="C30:R30"/>
    <mergeCell ref="C25:F25"/>
    <mergeCell ref="C26:F26"/>
    <mergeCell ref="Y27:AC27"/>
    <mergeCell ref="C28:R28"/>
    <mergeCell ref="C29:R29"/>
    <mergeCell ref="Y29:AC29"/>
    <mergeCell ref="T21:X21"/>
    <mergeCell ref="Y21:AC21"/>
    <mergeCell ref="C19:E19"/>
    <mergeCell ref="J19:K19"/>
    <mergeCell ref="M19:N19"/>
    <mergeCell ref="T19:U19"/>
    <mergeCell ref="W19:X19"/>
    <mergeCell ref="AD21:AH21"/>
    <mergeCell ref="C22:F22"/>
    <mergeCell ref="Q22:S22"/>
    <mergeCell ref="B1:T1"/>
    <mergeCell ref="B2:T2"/>
    <mergeCell ref="B4:AH4"/>
    <mergeCell ref="T6:U6"/>
    <mergeCell ref="J6:K6"/>
    <mergeCell ref="M6:N6"/>
    <mergeCell ref="W6:X6"/>
    <mergeCell ref="Y6:Z6"/>
    <mergeCell ref="AB6:AC6"/>
    <mergeCell ref="U1:AH2"/>
    <mergeCell ref="AD34:AH34"/>
    <mergeCell ref="Y32:Z32"/>
    <mergeCell ref="AB32:AC32"/>
    <mergeCell ref="C16:R16"/>
    <mergeCell ref="Y16:AC16"/>
    <mergeCell ref="C17:R17"/>
    <mergeCell ref="C6:E6"/>
    <mergeCell ref="C12:F12"/>
    <mergeCell ref="C13:F13"/>
    <mergeCell ref="C10:F10"/>
    <mergeCell ref="C11:F11"/>
    <mergeCell ref="Y14:AC14"/>
    <mergeCell ref="C15:R15"/>
    <mergeCell ref="B8:O8"/>
    <mergeCell ref="P8:S8"/>
    <mergeCell ref="Y8:AC8"/>
    <mergeCell ref="AD8:AH8"/>
    <mergeCell ref="C9:F9"/>
    <mergeCell ref="Q9:S9"/>
    <mergeCell ref="T8:X8"/>
    <mergeCell ref="Y19:Z19"/>
    <mergeCell ref="AB19:AC19"/>
    <mergeCell ref="B21:O21"/>
    <mergeCell ref="P21:S21"/>
    <mergeCell ref="C36:F36"/>
    <mergeCell ref="C37:F37"/>
    <mergeCell ref="C38:F38"/>
    <mergeCell ref="C39:F39"/>
    <mergeCell ref="C41:R41"/>
    <mergeCell ref="Y40:AC40"/>
    <mergeCell ref="C42:R42"/>
    <mergeCell ref="Y42:AC42"/>
    <mergeCell ref="Y34:AC34"/>
    <mergeCell ref="C32:E32"/>
    <mergeCell ref="J32:K32"/>
    <mergeCell ref="M32:N32"/>
    <mergeCell ref="T32:U32"/>
    <mergeCell ref="W32:X32"/>
    <mergeCell ref="B34:O34"/>
    <mergeCell ref="P34:S34"/>
    <mergeCell ref="T34:X34"/>
    <mergeCell ref="C35:F35"/>
    <mergeCell ref="Q35:S35"/>
    <mergeCell ref="W48:X48"/>
    <mergeCell ref="Y48:Z48"/>
    <mergeCell ref="AB48:AC48"/>
    <mergeCell ref="B50:O50"/>
    <mergeCell ref="P50:S50"/>
    <mergeCell ref="T50:X50"/>
    <mergeCell ref="Y50:AC50"/>
    <mergeCell ref="C43:R43"/>
    <mergeCell ref="C48:E48"/>
    <mergeCell ref="J48:K48"/>
    <mergeCell ref="M48:N48"/>
    <mergeCell ref="T48:U48"/>
    <mergeCell ref="B46:AH46"/>
    <mergeCell ref="C54:F54"/>
    <mergeCell ref="C55:F55"/>
    <mergeCell ref="Y56:AC56"/>
    <mergeCell ref="C57:R57"/>
    <mergeCell ref="C58:R58"/>
    <mergeCell ref="Y58:AC58"/>
    <mergeCell ref="AD50:AH50"/>
    <mergeCell ref="C51:F51"/>
    <mergeCell ref="Q51:S51"/>
    <mergeCell ref="C52:F52"/>
    <mergeCell ref="C53:F53"/>
    <mergeCell ref="W61:X61"/>
    <mergeCell ref="Y61:Z61"/>
    <mergeCell ref="AB61:AC61"/>
    <mergeCell ref="B63:O63"/>
    <mergeCell ref="P63:S63"/>
    <mergeCell ref="T63:X63"/>
    <mergeCell ref="Y63:AC63"/>
    <mergeCell ref="C59:R59"/>
    <mergeCell ref="C61:E61"/>
    <mergeCell ref="J61:K61"/>
    <mergeCell ref="M61:N61"/>
    <mergeCell ref="T61:U61"/>
    <mergeCell ref="C67:F67"/>
    <mergeCell ref="C68:F68"/>
    <mergeCell ref="Y69:AC69"/>
    <mergeCell ref="C70:R70"/>
    <mergeCell ref="C71:R71"/>
    <mergeCell ref="Y71:AC71"/>
    <mergeCell ref="AD63:AH63"/>
    <mergeCell ref="C64:F64"/>
    <mergeCell ref="Q64:S64"/>
    <mergeCell ref="C65:F65"/>
    <mergeCell ref="C66:F66"/>
    <mergeCell ref="W74:X74"/>
    <mergeCell ref="Y74:Z74"/>
    <mergeCell ref="AB74:AC74"/>
    <mergeCell ref="B76:O76"/>
    <mergeCell ref="P76:S76"/>
    <mergeCell ref="T76:X76"/>
    <mergeCell ref="Y76:AC76"/>
    <mergeCell ref="C72:R72"/>
    <mergeCell ref="C74:E74"/>
    <mergeCell ref="J74:K74"/>
    <mergeCell ref="M74:N74"/>
    <mergeCell ref="T74:U74"/>
    <mergeCell ref="C85:R85"/>
    <mergeCell ref="C80:F80"/>
    <mergeCell ref="C81:F81"/>
    <mergeCell ref="Y82:AC82"/>
    <mergeCell ref="C83:R83"/>
    <mergeCell ref="C84:R84"/>
    <mergeCell ref="Y84:AC84"/>
    <mergeCell ref="AD76:AH76"/>
    <mergeCell ref="C77:F77"/>
    <mergeCell ref="Q77:S77"/>
    <mergeCell ref="C78:F78"/>
    <mergeCell ref="C79:F79"/>
  </mergeCells>
  <dataValidations count="2">
    <dataValidation type="list" allowBlank="1" showInputMessage="1" showErrorMessage="1" sqref="AA74 AA61 AA48" xr:uid="{00000000-0002-0000-0300-000000000000}">
      <formula1>Larguras_de_Banda_Calibradas___A</formula1>
    </dataValidation>
    <dataValidation type="list" allowBlank="1" showInputMessage="1" showErrorMessage="1" sqref="L6 L19 L32 L48 L61 L74" xr:uid="{00000000-0002-0000-0300-000001000000}">
      <formula1>Absorbâncias_Nominais</formula1>
    </dataValidation>
  </dataValidations>
  <pageMargins left="0.511811024" right="0.511811024" top="0.78740157499999996" bottom="0.78740157499999996" header="0.31496062000000002" footer="0.31496062000000002"/>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I74"/>
  <sheetViews>
    <sheetView zoomScale="110" zoomScaleNormal="110" workbookViewId="0">
      <selection activeCell="N58" sqref="N58"/>
    </sheetView>
  </sheetViews>
  <sheetFormatPr defaultRowHeight="15"/>
  <cols>
    <col min="1" max="1" width="3" customWidth="1"/>
    <col min="4" max="4" width="10.5703125" customWidth="1"/>
    <col min="17" max="17" width="10.42578125" customWidth="1"/>
    <col min="18" max="18" width="4.85546875" customWidth="1"/>
    <col min="33" max="33" width="10.42578125" customWidth="1"/>
  </cols>
  <sheetData>
    <row r="1" spans="2:33" ht="23.25">
      <c r="B1" s="1004" t="s">
        <v>114</v>
      </c>
      <c r="C1" s="1004"/>
      <c r="D1" s="1004"/>
      <c r="E1" s="1004"/>
      <c r="F1" s="1004"/>
      <c r="G1" s="1004"/>
      <c r="H1" s="1004"/>
      <c r="I1" s="1004"/>
      <c r="J1" s="1004"/>
      <c r="K1" s="1004"/>
      <c r="L1" s="1004"/>
      <c r="M1" s="1004"/>
      <c r="N1" s="1004"/>
      <c r="O1" s="1004"/>
      <c r="P1" s="1004"/>
      <c r="Q1" s="1004"/>
      <c r="R1" s="1004"/>
    </row>
    <row r="2" spans="2:33" ht="20.25">
      <c r="B2" s="1005" t="s">
        <v>108</v>
      </c>
      <c r="C2" s="1005"/>
      <c r="D2" s="1005"/>
      <c r="E2" s="1005"/>
      <c r="F2" s="1005"/>
      <c r="G2" s="1005"/>
      <c r="H2" s="1005"/>
      <c r="I2" s="1005"/>
      <c r="J2" s="1005"/>
      <c r="K2" s="1005"/>
      <c r="L2" s="1005"/>
      <c r="M2" s="1005"/>
      <c r="N2" s="1005"/>
      <c r="O2" s="1005"/>
      <c r="P2" s="1005"/>
      <c r="Q2" s="1005"/>
      <c r="R2" s="1005"/>
    </row>
    <row r="3" spans="2:33" ht="6" customHeight="1" thickBot="1"/>
    <row r="4" spans="2:33" ht="15.75" thickBot="1">
      <c r="C4" s="1027" t="s">
        <v>151</v>
      </c>
      <c r="D4" s="1028"/>
      <c r="E4" s="1028"/>
      <c r="F4" s="1028"/>
      <c r="G4" s="1028"/>
      <c r="H4" s="1028"/>
      <c r="I4" s="1028"/>
      <c r="J4" s="1028"/>
      <c r="K4" s="1028"/>
      <c r="L4" s="1028"/>
      <c r="M4" s="1028"/>
      <c r="N4" s="1028"/>
      <c r="O4" s="1028"/>
      <c r="P4" s="1028"/>
      <c r="Q4" s="1029"/>
      <c r="S4" s="1027" t="s">
        <v>160</v>
      </c>
      <c r="T4" s="1028"/>
      <c r="U4" s="1028"/>
      <c r="V4" s="1028"/>
      <c r="W4" s="1028"/>
      <c r="X4" s="1028"/>
      <c r="Y4" s="1028"/>
      <c r="Z4" s="1028"/>
      <c r="AA4" s="1028"/>
      <c r="AB4" s="1028"/>
      <c r="AC4" s="1028"/>
      <c r="AD4" s="1028"/>
      <c r="AE4" s="1028"/>
      <c r="AF4" s="1028"/>
      <c r="AG4" s="1029"/>
    </row>
    <row r="5" spans="2:33">
      <c r="B5" s="1047" t="s">
        <v>178</v>
      </c>
      <c r="C5" s="1047" t="s">
        <v>109</v>
      </c>
      <c r="D5" s="1049" t="s">
        <v>106</v>
      </c>
      <c r="E5" s="146" t="s">
        <v>110</v>
      </c>
      <c r="F5" s="146" t="s">
        <v>59</v>
      </c>
      <c r="G5" s="1022" t="s">
        <v>153</v>
      </c>
      <c r="H5" s="1022"/>
      <c r="I5" s="1022"/>
      <c r="J5" s="1022"/>
      <c r="K5" s="1023"/>
      <c r="L5" s="1051" t="s">
        <v>154</v>
      </c>
      <c r="M5" s="1051"/>
      <c r="N5" s="1051"/>
      <c r="O5" s="1051"/>
      <c r="P5" s="1052"/>
      <c r="Q5" s="1053" t="s">
        <v>107</v>
      </c>
      <c r="S5" s="1047" t="s">
        <v>109</v>
      </c>
      <c r="T5" s="1049" t="s">
        <v>106</v>
      </c>
      <c r="U5" s="146" t="s">
        <v>110</v>
      </c>
      <c r="V5" s="146" t="s">
        <v>150</v>
      </c>
      <c r="W5" s="1022" t="s">
        <v>153</v>
      </c>
      <c r="X5" s="1022"/>
      <c r="Y5" s="1022"/>
      <c r="Z5" s="1022"/>
      <c r="AA5" s="1023"/>
      <c r="AB5" s="1051" t="s">
        <v>155</v>
      </c>
      <c r="AC5" s="1051"/>
      <c r="AD5" s="1051"/>
      <c r="AE5" s="1051"/>
      <c r="AF5" s="1052"/>
      <c r="AG5" s="1053" t="s">
        <v>107</v>
      </c>
    </row>
    <row r="6" spans="2:33" ht="15.75" thickBot="1">
      <c r="B6" s="1048"/>
      <c r="C6" s="1048"/>
      <c r="D6" s="1050"/>
      <c r="E6" s="175" t="s">
        <v>111</v>
      </c>
      <c r="F6" s="175" t="s">
        <v>112</v>
      </c>
      <c r="G6" s="176">
        <v>440</v>
      </c>
      <c r="H6" s="176">
        <v>465</v>
      </c>
      <c r="I6" s="176">
        <v>546.1</v>
      </c>
      <c r="J6" s="176">
        <v>590</v>
      </c>
      <c r="K6" s="177">
        <v>635</v>
      </c>
      <c r="L6" s="176">
        <v>440</v>
      </c>
      <c r="M6" s="176">
        <v>465</v>
      </c>
      <c r="N6" s="176">
        <v>546.1</v>
      </c>
      <c r="O6" s="176">
        <v>590</v>
      </c>
      <c r="P6" s="177">
        <v>635</v>
      </c>
      <c r="Q6" s="1054"/>
      <c r="S6" s="1048"/>
      <c r="T6" s="1050"/>
      <c r="U6" s="175" t="s">
        <v>111</v>
      </c>
      <c r="V6" s="175" t="s">
        <v>112</v>
      </c>
      <c r="W6" s="176">
        <v>440</v>
      </c>
      <c r="X6" s="176">
        <v>465</v>
      </c>
      <c r="Y6" s="176">
        <v>546.1</v>
      </c>
      <c r="Z6" s="176">
        <v>590</v>
      </c>
      <c r="AA6" s="177">
        <v>635</v>
      </c>
      <c r="AB6" s="176">
        <v>440</v>
      </c>
      <c r="AC6" s="176">
        <v>465</v>
      </c>
      <c r="AD6" s="176">
        <v>546.1</v>
      </c>
      <c r="AE6" s="176">
        <v>590</v>
      </c>
      <c r="AF6" s="177">
        <v>635</v>
      </c>
      <c r="AG6" s="1054"/>
    </row>
    <row r="7" spans="2:33" ht="15.75" thickBot="1">
      <c r="B7" s="1030" t="s">
        <v>179</v>
      </c>
      <c r="C7" s="167" t="s">
        <v>63</v>
      </c>
      <c r="D7" s="168" t="s">
        <v>68</v>
      </c>
      <c r="E7" s="1033">
        <v>1</v>
      </c>
      <c r="F7" s="178">
        <v>1</v>
      </c>
      <c r="G7" s="169">
        <v>1.0057</v>
      </c>
      <c r="H7" s="170">
        <v>0.95679999999999998</v>
      </c>
      <c r="I7" s="170">
        <v>1.0011000000000001</v>
      </c>
      <c r="J7" s="170">
        <v>1.0968</v>
      </c>
      <c r="K7" s="171">
        <v>1.0894999999999999</v>
      </c>
      <c r="L7" s="172">
        <v>5.4999999999999997E-3</v>
      </c>
      <c r="M7" s="173">
        <v>5.4999999999999997E-3</v>
      </c>
      <c r="N7" s="173">
        <v>5.4999999999999997E-3</v>
      </c>
      <c r="O7" s="173">
        <v>5.4999999999999997E-3</v>
      </c>
      <c r="P7" s="174">
        <v>5.4999999999999997E-3</v>
      </c>
      <c r="Q7" s="179">
        <v>44214</v>
      </c>
      <c r="S7" s="167" t="s">
        <v>63</v>
      </c>
      <c r="T7" s="168" t="s">
        <v>68</v>
      </c>
      <c r="U7" s="1033">
        <v>1</v>
      </c>
      <c r="V7" s="178">
        <v>10</v>
      </c>
      <c r="W7" s="229">
        <v>9.84</v>
      </c>
      <c r="X7" s="230">
        <v>11.07</v>
      </c>
      <c r="Y7" s="230">
        <v>9.98</v>
      </c>
      <c r="Z7" s="230">
        <v>8</v>
      </c>
      <c r="AA7" s="231">
        <v>8.14</v>
      </c>
      <c r="AB7" s="241">
        <v>0.12</v>
      </c>
      <c r="AC7" s="242">
        <v>0.12</v>
      </c>
      <c r="AD7" s="242">
        <v>0.12</v>
      </c>
      <c r="AE7" s="242">
        <v>0.12</v>
      </c>
      <c r="AF7" s="243">
        <v>0.12</v>
      </c>
      <c r="AG7" s="179">
        <v>44214</v>
      </c>
    </row>
    <row r="8" spans="2:33" ht="15.75" thickBot="1">
      <c r="B8" s="1031"/>
      <c r="C8" s="142" t="s">
        <v>63</v>
      </c>
      <c r="D8" s="143" t="s">
        <v>69</v>
      </c>
      <c r="E8" s="1034"/>
      <c r="F8" s="178">
        <v>0.5</v>
      </c>
      <c r="G8" s="147">
        <v>0.55149999999999999</v>
      </c>
      <c r="H8" s="148">
        <v>0.51400000000000001</v>
      </c>
      <c r="I8" s="148">
        <v>0.51149999999999995</v>
      </c>
      <c r="J8" s="148">
        <v>0.54459999999999997</v>
      </c>
      <c r="K8" s="149">
        <v>0.55210000000000004</v>
      </c>
      <c r="L8" s="150">
        <v>4.0000000000000001E-3</v>
      </c>
      <c r="M8" s="151">
        <v>4.0000000000000001E-3</v>
      </c>
      <c r="N8" s="151">
        <v>4.0000000000000001E-3</v>
      </c>
      <c r="O8" s="151">
        <v>4.0000000000000001E-3</v>
      </c>
      <c r="P8" s="152">
        <v>4.0000000000000001E-3</v>
      </c>
      <c r="Q8" s="180">
        <v>44214</v>
      </c>
      <c r="S8" s="142" t="s">
        <v>63</v>
      </c>
      <c r="T8" s="143" t="s">
        <v>69</v>
      </c>
      <c r="U8" s="1034"/>
      <c r="V8" s="178">
        <v>30</v>
      </c>
      <c r="W8" s="232">
        <v>28.03</v>
      </c>
      <c r="X8" s="233">
        <v>30.65</v>
      </c>
      <c r="Y8" s="233">
        <v>30.81</v>
      </c>
      <c r="Z8" s="233">
        <v>28.54</v>
      </c>
      <c r="AA8" s="234">
        <v>28.07</v>
      </c>
      <c r="AB8" s="235">
        <v>0.23</v>
      </c>
      <c r="AC8" s="236">
        <v>0.23</v>
      </c>
      <c r="AD8" s="236">
        <v>0.23</v>
      </c>
      <c r="AE8" s="236">
        <v>0.23</v>
      </c>
      <c r="AF8" s="237">
        <v>0.23</v>
      </c>
      <c r="AG8" s="180">
        <v>44214</v>
      </c>
    </row>
    <row r="9" spans="2:33" ht="15.75" thickBot="1">
      <c r="B9" s="1031"/>
      <c r="C9" s="142" t="s">
        <v>63</v>
      </c>
      <c r="D9" s="143" t="s">
        <v>45</v>
      </c>
      <c r="E9" s="1034"/>
      <c r="F9" s="181">
        <v>0.25</v>
      </c>
      <c r="G9" s="153">
        <v>0.2661</v>
      </c>
      <c r="H9" s="154">
        <v>0.2412</v>
      </c>
      <c r="I9" s="154">
        <v>0.2505</v>
      </c>
      <c r="J9" s="154">
        <v>0.29399999999999998</v>
      </c>
      <c r="K9" s="155">
        <v>0.30199999999999999</v>
      </c>
      <c r="L9" s="156">
        <v>4.0000000000000001E-3</v>
      </c>
      <c r="M9" s="157">
        <v>4.0000000000000001E-3</v>
      </c>
      <c r="N9" s="157">
        <v>4.0000000000000001E-3</v>
      </c>
      <c r="O9" s="157">
        <v>4.0000000000000001E-3</v>
      </c>
      <c r="P9" s="158">
        <v>4.0000000000000001E-3</v>
      </c>
      <c r="Q9" s="182">
        <v>44214</v>
      </c>
      <c r="S9" s="142" t="s">
        <v>63</v>
      </c>
      <c r="T9" s="143" t="s">
        <v>45</v>
      </c>
      <c r="U9" s="1034"/>
      <c r="V9" s="181">
        <v>50</v>
      </c>
      <c r="W9" s="238">
        <v>54.11</v>
      </c>
      <c r="X9" s="239">
        <v>57.47</v>
      </c>
      <c r="Y9" s="239">
        <v>56.22</v>
      </c>
      <c r="Z9" s="239">
        <v>50.86</v>
      </c>
      <c r="AA9" s="240">
        <v>49.93</v>
      </c>
      <c r="AB9" s="244">
        <v>0.42</v>
      </c>
      <c r="AC9" s="245">
        <v>0.42</v>
      </c>
      <c r="AD9" s="245">
        <v>0.42</v>
      </c>
      <c r="AE9" s="245">
        <v>0.42</v>
      </c>
      <c r="AF9" s="246">
        <v>0.42</v>
      </c>
      <c r="AG9" s="182">
        <v>44214</v>
      </c>
    </row>
    <row r="10" spans="2:33" ht="15.75" thickBot="1">
      <c r="B10" s="1031"/>
      <c r="C10" s="142" t="s">
        <v>63</v>
      </c>
      <c r="D10" s="143" t="s">
        <v>68</v>
      </c>
      <c r="E10" s="1034">
        <v>5</v>
      </c>
      <c r="F10" s="183">
        <v>1</v>
      </c>
      <c r="G10" s="159">
        <v>1.0057</v>
      </c>
      <c r="H10" s="160">
        <v>0.95679999999999998</v>
      </c>
      <c r="I10" s="160">
        <v>1.0011000000000001</v>
      </c>
      <c r="J10" s="160">
        <v>1.0968</v>
      </c>
      <c r="K10" s="161">
        <v>1.0894999999999999</v>
      </c>
      <c r="L10" s="159">
        <v>5.4000000000000003E-3</v>
      </c>
      <c r="M10" s="160">
        <v>5.4000000000000003E-3</v>
      </c>
      <c r="N10" s="160">
        <v>5.4000000000000003E-3</v>
      </c>
      <c r="O10" s="160">
        <v>5.4000000000000003E-3</v>
      </c>
      <c r="P10" s="161">
        <v>5.4000000000000003E-3</v>
      </c>
      <c r="Q10" s="179">
        <v>44214</v>
      </c>
      <c r="S10" s="142" t="s">
        <v>63</v>
      </c>
      <c r="T10" s="143" t="s">
        <v>68</v>
      </c>
      <c r="U10" s="1034">
        <v>5</v>
      </c>
      <c r="V10" s="178">
        <v>10</v>
      </c>
      <c r="W10" s="241">
        <v>9.84</v>
      </c>
      <c r="X10" s="242">
        <v>11.07</v>
      </c>
      <c r="Y10" s="242">
        <v>9.98</v>
      </c>
      <c r="Z10" s="242">
        <v>8</v>
      </c>
      <c r="AA10" s="243">
        <v>8.14</v>
      </c>
      <c r="AB10" s="241">
        <v>0.11</v>
      </c>
      <c r="AC10" s="242">
        <v>0.11</v>
      </c>
      <c r="AD10" s="242">
        <v>0.11</v>
      </c>
      <c r="AE10" s="242">
        <v>0.11</v>
      </c>
      <c r="AF10" s="243">
        <v>0.11</v>
      </c>
      <c r="AG10" s="179">
        <v>44214</v>
      </c>
    </row>
    <row r="11" spans="2:33" ht="15.75" thickBot="1">
      <c r="B11" s="1031"/>
      <c r="C11" s="142" t="s">
        <v>63</v>
      </c>
      <c r="D11" s="143" t="s">
        <v>69</v>
      </c>
      <c r="E11" s="1034"/>
      <c r="F11" s="178">
        <v>0.5</v>
      </c>
      <c r="G11" s="150">
        <v>0.55149999999999999</v>
      </c>
      <c r="H11" s="151">
        <v>0.51400000000000001</v>
      </c>
      <c r="I11" s="151">
        <v>0.51149999999999995</v>
      </c>
      <c r="J11" s="151">
        <v>0.54459999999999997</v>
      </c>
      <c r="K11" s="152">
        <v>0.55210000000000004</v>
      </c>
      <c r="L11" s="150">
        <v>4.0000000000000001E-3</v>
      </c>
      <c r="M11" s="151">
        <v>4.0000000000000001E-3</v>
      </c>
      <c r="N11" s="151">
        <v>4.0000000000000001E-3</v>
      </c>
      <c r="O11" s="151">
        <v>4.0000000000000001E-3</v>
      </c>
      <c r="P11" s="152">
        <v>4.0000000000000001E-3</v>
      </c>
      <c r="Q11" s="180">
        <v>44214</v>
      </c>
      <c r="S11" s="142" t="s">
        <v>63</v>
      </c>
      <c r="T11" s="143" t="s">
        <v>69</v>
      </c>
      <c r="U11" s="1034"/>
      <c r="V11" s="178">
        <v>30</v>
      </c>
      <c r="W11" s="235">
        <v>28.09</v>
      </c>
      <c r="X11" s="236">
        <v>30.62</v>
      </c>
      <c r="Y11" s="236">
        <v>30.8</v>
      </c>
      <c r="Z11" s="236">
        <v>28.54</v>
      </c>
      <c r="AA11" s="237">
        <v>28.05</v>
      </c>
      <c r="AB11" s="235">
        <v>0.22</v>
      </c>
      <c r="AC11" s="236">
        <v>0.22</v>
      </c>
      <c r="AD11" s="236">
        <v>0.22</v>
      </c>
      <c r="AE11" s="236">
        <v>0.22</v>
      </c>
      <c r="AF11" s="237">
        <v>0.22</v>
      </c>
      <c r="AG11" s="180">
        <v>44214</v>
      </c>
    </row>
    <row r="12" spans="2:33" ht="15.75" thickBot="1">
      <c r="B12" s="1032"/>
      <c r="C12" s="144" t="s">
        <v>63</v>
      </c>
      <c r="D12" s="145" t="s">
        <v>45</v>
      </c>
      <c r="E12" s="1034"/>
      <c r="F12" s="181">
        <v>0.25</v>
      </c>
      <c r="G12" s="162">
        <v>0.2661</v>
      </c>
      <c r="H12" s="163">
        <v>0.2412</v>
      </c>
      <c r="I12" s="163">
        <v>0.2505</v>
      </c>
      <c r="J12" s="163">
        <v>0.29399999999999998</v>
      </c>
      <c r="K12" s="164">
        <v>0.30199999999999999</v>
      </c>
      <c r="L12" s="162">
        <v>4.0000000000000001E-3</v>
      </c>
      <c r="M12" s="163">
        <v>4.0000000000000001E-3</v>
      </c>
      <c r="N12" s="163">
        <v>4.0000000000000001E-3</v>
      </c>
      <c r="O12" s="163">
        <v>4.0000000000000001E-3</v>
      </c>
      <c r="P12" s="164">
        <v>4.0000000000000001E-3</v>
      </c>
      <c r="Q12" s="182">
        <v>44214</v>
      </c>
      <c r="S12" s="144" t="s">
        <v>63</v>
      </c>
      <c r="T12" s="145" t="s">
        <v>45</v>
      </c>
      <c r="U12" s="1034"/>
      <c r="V12" s="181">
        <v>50</v>
      </c>
      <c r="W12" s="244">
        <v>54.19</v>
      </c>
      <c r="X12" s="245">
        <v>57.39</v>
      </c>
      <c r="Y12" s="245">
        <v>56.17</v>
      </c>
      <c r="Z12" s="245">
        <v>50.82</v>
      </c>
      <c r="AA12" s="246">
        <v>49.89</v>
      </c>
      <c r="AB12" s="244">
        <v>0.4</v>
      </c>
      <c r="AC12" s="245">
        <v>0.4</v>
      </c>
      <c r="AD12" s="245">
        <v>0.4</v>
      </c>
      <c r="AE12" s="245">
        <v>0.4</v>
      </c>
      <c r="AF12" s="246">
        <v>0.4</v>
      </c>
      <c r="AG12" s="182">
        <v>44214</v>
      </c>
    </row>
    <row r="13" spans="2:33" ht="9" customHeight="1" thickBot="1"/>
    <row r="14" spans="2:33" ht="15.75" customHeight="1" thickBot="1">
      <c r="B14" s="1030" t="s">
        <v>183</v>
      </c>
      <c r="C14" s="278" t="s">
        <v>63</v>
      </c>
      <c r="D14" s="279" t="s">
        <v>68</v>
      </c>
      <c r="E14" s="1034">
        <v>2</v>
      </c>
      <c r="F14" s="183">
        <v>1</v>
      </c>
      <c r="G14" s="284">
        <v>1.0089999999999999</v>
      </c>
      <c r="H14" s="285">
        <v>0.95799999999999996</v>
      </c>
      <c r="I14" s="285">
        <v>1.0009999999999999</v>
      </c>
      <c r="J14" s="285">
        <v>1.097</v>
      </c>
      <c r="K14" s="286">
        <v>1.089</v>
      </c>
      <c r="L14" s="293">
        <v>8.0000000000000002E-3</v>
      </c>
      <c r="M14" s="294">
        <v>8.0000000000000002E-3</v>
      </c>
      <c r="N14" s="294">
        <v>8.0000000000000002E-3</v>
      </c>
      <c r="O14" s="294">
        <v>8.0000000000000002E-3</v>
      </c>
      <c r="P14" s="295">
        <v>8.0000000000000002E-3</v>
      </c>
      <c r="Q14" s="277">
        <v>43609</v>
      </c>
    </row>
    <row r="15" spans="2:33" ht="15.75" customHeight="1" thickBot="1">
      <c r="B15" s="1031"/>
      <c r="C15" s="142" t="s">
        <v>63</v>
      </c>
      <c r="D15" s="143" t="s">
        <v>69</v>
      </c>
      <c r="E15" s="1034"/>
      <c r="F15" s="178">
        <v>0.5</v>
      </c>
      <c r="G15" s="287">
        <v>0.55500000000000005</v>
      </c>
      <c r="H15" s="288">
        <v>0.51600000000000001</v>
      </c>
      <c r="I15" s="288">
        <v>0.51200000000000001</v>
      </c>
      <c r="J15" s="288">
        <v>0.54500000000000004</v>
      </c>
      <c r="K15" s="289">
        <v>0.55200000000000005</v>
      </c>
      <c r="L15" s="296">
        <v>7.0000000000000001E-3</v>
      </c>
      <c r="M15" s="297">
        <v>7.0000000000000001E-3</v>
      </c>
      <c r="N15" s="297">
        <v>7.0000000000000001E-3</v>
      </c>
      <c r="O15" s="297">
        <v>7.0000000000000001E-3</v>
      </c>
      <c r="P15" s="298">
        <v>7.0000000000000001E-3</v>
      </c>
      <c r="Q15" s="180">
        <v>43609</v>
      </c>
    </row>
    <row r="16" spans="2:33" ht="15.75" customHeight="1" thickBot="1">
      <c r="B16" s="1032"/>
      <c r="C16" s="144" t="s">
        <v>63</v>
      </c>
      <c r="D16" s="145" t="s">
        <v>45</v>
      </c>
      <c r="E16" s="1034"/>
      <c r="F16" s="181">
        <v>0.25</v>
      </c>
      <c r="G16" s="290">
        <v>0.26900000000000002</v>
      </c>
      <c r="H16" s="291">
        <v>0.24299999999999999</v>
      </c>
      <c r="I16" s="291">
        <v>0.252</v>
      </c>
      <c r="J16" s="291">
        <v>0.29499999999999998</v>
      </c>
      <c r="K16" s="292">
        <v>0.30299999999999999</v>
      </c>
      <c r="L16" s="299">
        <v>6.0000000000000001E-3</v>
      </c>
      <c r="M16" s="300">
        <v>6.0000000000000001E-3</v>
      </c>
      <c r="N16" s="300">
        <v>6.0000000000000001E-3</v>
      </c>
      <c r="O16" s="300">
        <v>6.0000000000000001E-3</v>
      </c>
      <c r="P16" s="301">
        <v>6.0000000000000001E-3</v>
      </c>
      <c r="Q16" s="182">
        <v>43609</v>
      </c>
    </row>
    <row r="17" spans="2:35" ht="9" customHeight="1" thickBot="1"/>
    <row r="18" spans="2:35" ht="15.75" customHeight="1" thickBot="1">
      <c r="B18" s="1030" t="s">
        <v>61</v>
      </c>
      <c r="C18" s="278" t="s">
        <v>63</v>
      </c>
      <c r="D18" s="279" t="s">
        <v>68</v>
      </c>
      <c r="E18" s="1034">
        <v>1</v>
      </c>
      <c r="F18" s="276">
        <v>1</v>
      </c>
      <c r="G18" s="280">
        <v>1.0093000000000001</v>
      </c>
      <c r="H18" s="281">
        <v>0.95820000000000005</v>
      </c>
      <c r="I18" s="281">
        <v>1.0021</v>
      </c>
      <c r="J18" s="281">
        <v>1.0980000000000001</v>
      </c>
      <c r="K18" s="282">
        <v>1.0900000000000001</v>
      </c>
      <c r="L18" s="159">
        <v>2.7000000000000001E-3</v>
      </c>
      <c r="M18" s="160">
        <v>2.7000000000000001E-3</v>
      </c>
      <c r="N18" s="160">
        <v>2.7000000000000001E-3</v>
      </c>
      <c r="O18" s="160">
        <v>2.7000000000000001E-3</v>
      </c>
      <c r="P18" s="161">
        <v>2.7000000000000001E-3</v>
      </c>
      <c r="Q18" s="277">
        <v>41759</v>
      </c>
      <c r="S18" s="278" t="s">
        <v>63</v>
      </c>
      <c r="T18" s="279" t="s">
        <v>68</v>
      </c>
      <c r="U18" s="1034">
        <v>1</v>
      </c>
      <c r="V18" s="276">
        <v>10</v>
      </c>
      <c r="W18" s="273">
        <v>9.7899999999999991</v>
      </c>
      <c r="X18" s="274">
        <v>11.01</v>
      </c>
      <c r="Y18" s="274">
        <v>9.9499999999999993</v>
      </c>
      <c r="Z18" s="274">
        <v>7.98</v>
      </c>
      <c r="AA18" s="275">
        <v>8.1300000000000008</v>
      </c>
      <c r="AB18" s="241">
        <v>0.06</v>
      </c>
      <c r="AC18" s="242"/>
      <c r="AD18" s="242"/>
      <c r="AE18" s="242"/>
      <c r="AF18" s="243"/>
      <c r="AG18" s="277">
        <v>44214</v>
      </c>
      <c r="AI18" s="129" t="s">
        <v>180</v>
      </c>
    </row>
    <row r="19" spans="2:35" ht="15.75" thickBot="1">
      <c r="B19" s="1031"/>
      <c r="C19" s="142" t="s">
        <v>63</v>
      </c>
      <c r="D19" s="143" t="s">
        <v>69</v>
      </c>
      <c r="E19" s="1034"/>
      <c r="F19" s="178">
        <v>0.5</v>
      </c>
      <c r="G19" s="147">
        <v>0.55610000000000004</v>
      </c>
      <c r="H19" s="148">
        <v>0.51700000000000002</v>
      </c>
      <c r="I19" s="148">
        <v>0.51380000000000003</v>
      </c>
      <c r="J19" s="148">
        <v>0.54669999999999996</v>
      </c>
      <c r="K19" s="149">
        <v>0.55379999999999996</v>
      </c>
      <c r="L19" s="172">
        <v>2.7000000000000001E-3</v>
      </c>
      <c r="M19" s="173">
        <v>2.7000000000000001E-3</v>
      </c>
      <c r="N19" s="173">
        <v>2.7000000000000001E-3</v>
      </c>
      <c r="O19" s="173">
        <v>2.7000000000000001E-3</v>
      </c>
      <c r="P19" s="174">
        <v>2.7000000000000001E-3</v>
      </c>
      <c r="Q19" s="179">
        <v>41759</v>
      </c>
      <c r="S19" s="142" t="s">
        <v>63</v>
      </c>
      <c r="T19" s="143" t="s">
        <v>69</v>
      </c>
      <c r="U19" s="1034"/>
      <c r="V19" s="178">
        <v>30</v>
      </c>
      <c r="W19" s="232">
        <v>27.79</v>
      </c>
      <c r="X19" s="233">
        <v>30.41</v>
      </c>
      <c r="Y19" s="233">
        <v>30.63</v>
      </c>
      <c r="Z19" s="233">
        <v>28.4</v>
      </c>
      <c r="AA19" s="234">
        <v>27.94</v>
      </c>
      <c r="AB19" s="235">
        <v>0.17</v>
      </c>
      <c r="AC19" s="236"/>
      <c r="AD19" s="236"/>
      <c r="AE19" s="236"/>
      <c r="AF19" s="237"/>
      <c r="AG19" s="180">
        <v>44214</v>
      </c>
      <c r="AI19" s="129" t="s">
        <v>181</v>
      </c>
    </row>
    <row r="20" spans="2:35" ht="15.75" thickBot="1">
      <c r="B20" s="1031"/>
      <c r="C20" s="142" t="s">
        <v>63</v>
      </c>
      <c r="D20" s="143" t="s">
        <v>45</v>
      </c>
      <c r="E20" s="1034"/>
      <c r="F20" s="181">
        <v>0.25</v>
      </c>
      <c r="G20" s="153">
        <v>0.26889999999999997</v>
      </c>
      <c r="H20" s="154">
        <v>0.24279999999999999</v>
      </c>
      <c r="I20" s="154">
        <v>0.25159999999999999</v>
      </c>
      <c r="J20" s="154">
        <v>0.29509999999999997</v>
      </c>
      <c r="K20" s="155">
        <v>0.30299999999999999</v>
      </c>
      <c r="L20" s="162">
        <v>2.7000000000000001E-3</v>
      </c>
      <c r="M20" s="163">
        <v>2.7000000000000001E-3</v>
      </c>
      <c r="N20" s="163">
        <v>2.7000000000000001E-3</v>
      </c>
      <c r="O20" s="163">
        <v>2.7000000000000001E-3</v>
      </c>
      <c r="P20" s="164">
        <v>2.7000000000000001E-3</v>
      </c>
      <c r="Q20" s="182">
        <v>41759</v>
      </c>
      <c r="S20" s="142" t="s">
        <v>63</v>
      </c>
      <c r="T20" s="143" t="s">
        <v>45</v>
      </c>
      <c r="U20" s="1034"/>
      <c r="V20" s="181">
        <v>50</v>
      </c>
      <c r="W20" s="238">
        <v>53.84</v>
      </c>
      <c r="X20" s="239">
        <v>57.18</v>
      </c>
      <c r="Y20" s="239">
        <v>56.03</v>
      </c>
      <c r="Z20" s="239">
        <v>50.68</v>
      </c>
      <c r="AA20" s="240">
        <v>49.77</v>
      </c>
      <c r="AB20" s="283">
        <v>0.21</v>
      </c>
      <c r="AC20" s="245"/>
      <c r="AD20" s="245"/>
      <c r="AE20" s="245"/>
      <c r="AF20" s="246"/>
      <c r="AG20" s="182">
        <v>44214</v>
      </c>
      <c r="AI20" t="s">
        <v>182</v>
      </c>
    </row>
    <row r="21" spans="2:35" ht="15.75" thickBot="1">
      <c r="B21" s="1031"/>
      <c r="C21" s="142" t="s">
        <v>63</v>
      </c>
      <c r="D21" s="143" t="s">
        <v>68</v>
      </c>
      <c r="E21" s="1034">
        <v>6.5</v>
      </c>
      <c r="F21" s="183">
        <v>1</v>
      </c>
      <c r="G21" s="169">
        <v>1.0093000000000001</v>
      </c>
      <c r="H21" s="170">
        <v>0.95820000000000005</v>
      </c>
      <c r="I21" s="170">
        <v>1.0021</v>
      </c>
      <c r="J21" s="170">
        <v>1.0980000000000001</v>
      </c>
      <c r="K21" s="171">
        <v>1.0900000000000001</v>
      </c>
      <c r="L21" s="172">
        <v>2.7000000000000001E-3</v>
      </c>
      <c r="M21" s="173">
        <v>2.7000000000000001E-3</v>
      </c>
      <c r="N21" s="173">
        <v>2.7000000000000001E-3</v>
      </c>
      <c r="O21" s="173">
        <v>2.7000000000000001E-3</v>
      </c>
      <c r="P21" s="174">
        <v>2.7000000000000001E-3</v>
      </c>
      <c r="Q21" s="179">
        <v>41759</v>
      </c>
      <c r="S21" s="142" t="s">
        <v>63</v>
      </c>
      <c r="T21" s="143" t="s">
        <v>68</v>
      </c>
      <c r="U21" s="1034">
        <v>6.5</v>
      </c>
      <c r="V21" s="178">
        <v>10</v>
      </c>
      <c r="W21" s="273">
        <v>9.7899999999999991</v>
      </c>
      <c r="X21" s="274">
        <v>11.01</v>
      </c>
      <c r="Y21" s="274">
        <v>9.9499999999999993</v>
      </c>
      <c r="Z21" s="274">
        <v>7.98</v>
      </c>
      <c r="AA21" s="275">
        <v>8.1300000000000008</v>
      </c>
      <c r="AB21" s="241"/>
      <c r="AC21" s="242"/>
      <c r="AD21" s="242"/>
      <c r="AE21" s="242"/>
      <c r="AF21" s="243"/>
      <c r="AG21" s="179">
        <v>44214</v>
      </c>
    </row>
    <row r="22" spans="2:35" ht="15.75" thickBot="1">
      <c r="B22" s="1031"/>
      <c r="C22" s="142" t="s">
        <v>63</v>
      </c>
      <c r="D22" s="143" t="s">
        <v>69</v>
      </c>
      <c r="E22" s="1034"/>
      <c r="F22" s="178">
        <v>0.5</v>
      </c>
      <c r="G22" s="147">
        <v>0.55610000000000004</v>
      </c>
      <c r="H22" s="148">
        <v>0.51700000000000002</v>
      </c>
      <c r="I22" s="148">
        <v>0.51380000000000003</v>
      </c>
      <c r="J22" s="148">
        <v>0.54669999999999996</v>
      </c>
      <c r="K22" s="149">
        <v>0.55379999999999996</v>
      </c>
      <c r="L22" s="172">
        <v>2.7000000000000001E-3</v>
      </c>
      <c r="M22" s="173">
        <v>2.7000000000000001E-3</v>
      </c>
      <c r="N22" s="173">
        <v>2.7000000000000001E-3</v>
      </c>
      <c r="O22" s="173">
        <v>2.7000000000000001E-3</v>
      </c>
      <c r="P22" s="174">
        <v>2.7000000000000001E-3</v>
      </c>
      <c r="Q22" s="179">
        <v>41759</v>
      </c>
      <c r="S22" s="142" t="s">
        <v>63</v>
      </c>
      <c r="T22" s="143" t="s">
        <v>69</v>
      </c>
      <c r="U22" s="1034"/>
      <c r="V22" s="178">
        <v>30</v>
      </c>
      <c r="W22" s="232">
        <v>27.79</v>
      </c>
      <c r="X22" s="233">
        <v>30.41</v>
      </c>
      <c r="Y22" s="233">
        <v>30.63</v>
      </c>
      <c r="Z22" s="233">
        <v>28.4</v>
      </c>
      <c r="AA22" s="234">
        <v>27.94</v>
      </c>
      <c r="AB22" s="235"/>
      <c r="AC22" s="236"/>
      <c r="AD22" s="236"/>
      <c r="AE22" s="236"/>
      <c r="AF22" s="237"/>
      <c r="AG22" s="180">
        <v>44214</v>
      </c>
    </row>
    <row r="23" spans="2:35" ht="15.75" thickBot="1">
      <c r="B23" s="1032"/>
      <c r="C23" s="144" t="s">
        <v>63</v>
      </c>
      <c r="D23" s="145" t="s">
        <v>45</v>
      </c>
      <c r="E23" s="1034"/>
      <c r="F23" s="181">
        <v>0.25</v>
      </c>
      <c r="G23" s="153">
        <v>0.26889999999999997</v>
      </c>
      <c r="H23" s="154">
        <v>0.24279999999999999</v>
      </c>
      <c r="I23" s="154">
        <v>0.25159999999999999</v>
      </c>
      <c r="J23" s="154">
        <v>0.29509999999999997</v>
      </c>
      <c r="K23" s="155">
        <v>0.30299999999999999</v>
      </c>
      <c r="L23" s="162">
        <v>2.7000000000000001E-3</v>
      </c>
      <c r="M23" s="163">
        <v>2.7000000000000001E-3</v>
      </c>
      <c r="N23" s="163">
        <v>2.7000000000000001E-3</v>
      </c>
      <c r="O23" s="163">
        <v>2.7000000000000001E-3</v>
      </c>
      <c r="P23" s="164">
        <v>2.7000000000000001E-3</v>
      </c>
      <c r="Q23" s="182">
        <v>41759</v>
      </c>
      <c r="S23" s="144" t="s">
        <v>63</v>
      </c>
      <c r="T23" s="145" t="s">
        <v>45</v>
      </c>
      <c r="U23" s="1034"/>
      <c r="V23" s="181">
        <v>50</v>
      </c>
      <c r="W23" s="238">
        <v>53.84</v>
      </c>
      <c r="X23" s="239">
        <v>57.18</v>
      </c>
      <c r="Y23" s="239">
        <v>56.03</v>
      </c>
      <c r="Z23" s="239">
        <v>50.68</v>
      </c>
      <c r="AA23" s="240">
        <v>49.77</v>
      </c>
      <c r="AB23" s="244"/>
      <c r="AC23" s="245"/>
      <c r="AD23" s="245"/>
      <c r="AE23" s="245"/>
      <c r="AF23" s="246"/>
      <c r="AG23" s="182">
        <v>44214</v>
      </c>
    </row>
    <row r="55" spans="2:17" ht="15.75" thickBot="1"/>
    <row r="56" spans="2:17" ht="15.75" thickBot="1">
      <c r="C56" s="1027" t="s">
        <v>161</v>
      </c>
      <c r="D56" s="1028"/>
      <c r="E56" s="1028"/>
      <c r="F56" s="1028"/>
      <c r="G56" s="1028"/>
      <c r="H56" s="1028"/>
      <c r="I56" s="1028"/>
      <c r="J56" s="1028"/>
      <c r="K56" s="1028"/>
      <c r="L56" s="1028"/>
      <c r="M56" s="1028"/>
      <c r="N56" s="1028"/>
      <c r="O56" s="1028"/>
      <c r="P56" s="1028"/>
      <c r="Q56" s="1029"/>
    </row>
    <row r="57" spans="2:17" ht="15" customHeight="1">
      <c r="B57" s="1047" t="s">
        <v>178</v>
      </c>
      <c r="C57" s="1047" t="s">
        <v>109</v>
      </c>
      <c r="D57" s="1049" t="s">
        <v>106</v>
      </c>
      <c r="E57" s="146" t="s">
        <v>110</v>
      </c>
      <c r="F57" s="1021" t="s">
        <v>152</v>
      </c>
      <c r="G57" s="1022"/>
      <c r="H57" s="1022"/>
      <c r="I57" s="1022"/>
      <c r="J57" s="1022"/>
      <c r="K57" s="1022"/>
      <c r="L57" s="1022"/>
      <c r="M57" s="1022"/>
      <c r="N57" s="1022"/>
      <c r="O57" s="1022"/>
      <c r="P57" s="1022"/>
      <c r="Q57" s="1023"/>
    </row>
    <row r="58" spans="2:17" ht="18">
      <c r="B58" s="1058"/>
      <c r="C58" s="1058"/>
      <c r="D58" s="1059"/>
      <c r="E58" s="248" t="s">
        <v>111</v>
      </c>
      <c r="F58" s="672" t="s">
        <v>411</v>
      </c>
      <c r="G58" s="673" t="s">
        <v>412</v>
      </c>
      <c r="H58" s="673" t="s">
        <v>413</v>
      </c>
      <c r="I58" s="673" t="s">
        <v>414</v>
      </c>
      <c r="J58" s="673" t="s">
        <v>415</v>
      </c>
      <c r="K58" s="673" t="s">
        <v>421</v>
      </c>
      <c r="L58" s="673" t="s">
        <v>422</v>
      </c>
      <c r="M58" s="673" t="s">
        <v>423</v>
      </c>
      <c r="N58" s="673" t="s">
        <v>416</v>
      </c>
      <c r="O58" s="673" t="s">
        <v>417</v>
      </c>
      <c r="P58" s="673" t="s">
        <v>418</v>
      </c>
      <c r="Q58" s="674" t="s">
        <v>419</v>
      </c>
    </row>
    <row r="59" spans="2:17" ht="15" customHeight="1">
      <c r="B59" s="1055" t="s">
        <v>390</v>
      </c>
      <c r="C59" s="1060" t="s">
        <v>63</v>
      </c>
      <c r="D59" s="1063" t="s">
        <v>46</v>
      </c>
      <c r="E59" s="247">
        <v>0.1</v>
      </c>
      <c r="F59" s="675">
        <v>241.6</v>
      </c>
      <c r="G59" s="676">
        <v>279.33999999999997</v>
      </c>
      <c r="H59" s="676">
        <v>287.56</v>
      </c>
      <c r="I59" s="676">
        <v>333.81</v>
      </c>
      <c r="J59" s="676">
        <v>360.93</v>
      </c>
      <c r="L59" s="676">
        <v>418.85</v>
      </c>
      <c r="M59" s="676">
        <v>445.66</v>
      </c>
      <c r="N59" s="676">
        <v>453.64</v>
      </c>
      <c r="O59" s="676">
        <v>460.28</v>
      </c>
      <c r="P59" s="676">
        <v>536.39</v>
      </c>
      <c r="Q59" s="677">
        <v>637.5</v>
      </c>
    </row>
    <row r="60" spans="2:17">
      <c r="B60" s="1056"/>
      <c r="C60" s="1061"/>
      <c r="D60" s="1064"/>
      <c r="E60" s="166">
        <v>0.25</v>
      </c>
      <c r="F60" s="651">
        <v>241.65</v>
      </c>
      <c r="G60" s="652">
        <v>279.36</v>
      </c>
      <c r="H60" s="652">
        <v>287.58</v>
      </c>
      <c r="I60" s="652">
        <v>333.83</v>
      </c>
      <c r="J60" s="652">
        <v>360.95</v>
      </c>
      <c r="L60" s="652">
        <v>418.63</v>
      </c>
      <c r="M60" s="652">
        <v>445.67</v>
      </c>
      <c r="N60" s="652">
        <v>453.65</v>
      </c>
      <c r="O60" s="652">
        <v>460.27</v>
      </c>
      <c r="P60" s="652">
        <v>536.33000000000004</v>
      </c>
      <c r="Q60" s="678">
        <v>637.55999999999995</v>
      </c>
    </row>
    <row r="61" spans="2:17">
      <c r="B61" s="1056"/>
      <c r="C61" s="1061"/>
      <c r="D61" s="1064"/>
      <c r="E61" s="166">
        <v>0.5</v>
      </c>
      <c r="F61" s="651">
        <v>241.63</v>
      </c>
      <c r="G61" s="652">
        <v>279.33999999999997</v>
      </c>
      <c r="H61" s="652">
        <v>287.54000000000002</v>
      </c>
      <c r="I61" s="652">
        <v>333.84</v>
      </c>
      <c r="J61" s="652">
        <v>360.91</v>
      </c>
      <c r="L61" s="652">
        <v>418.67</v>
      </c>
      <c r="M61" s="652">
        <v>445.65</v>
      </c>
      <c r="N61" s="652">
        <v>453.64</v>
      </c>
      <c r="O61" s="652">
        <v>460.22</v>
      </c>
      <c r="P61" s="652">
        <v>536.32000000000005</v>
      </c>
      <c r="Q61" s="678">
        <v>637.63</v>
      </c>
    </row>
    <row r="62" spans="2:17">
      <c r="B62" s="1056"/>
      <c r="C62" s="1061"/>
      <c r="D62" s="1064"/>
      <c r="E62" s="166">
        <v>1</v>
      </c>
      <c r="F62" s="651">
        <v>241.58</v>
      </c>
      <c r="G62" s="652">
        <v>279.38</v>
      </c>
      <c r="H62" s="652">
        <v>287.58</v>
      </c>
      <c r="I62" s="652">
        <v>333.84</v>
      </c>
      <c r="J62" s="652">
        <v>360.84</v>
      </c>
      <c r="L62" s="652">
        <v>418.68</v>
      </c>
      <c r="M62" s="652">
        <v>445.68</v>
      </c>
      <c r="N62" s="652">
        <v>453.64</v>
      </c>
      <c r="O62" s="652">
        <v>460.18</v>
      </c>
      <c r="P62" s="652">
        <v>536.6</v>
      </c>
      <c r="Q62" s="678">
        <v>637.51</v>
      </c>
    </row>
    <row r="63" spans="2:17">
      <c r="B63" s="1056"/>
      <c r="C63" s="1061"/>
      <c r="D63" s="1064"/>
      <c r="E63" s="166">
        <v>1.5</v>
      </c>
      <c r="F63" s="651">
        <v>241.45</v>
      </c>
      <c r="G63" s="652">
        <v>279.20999999999998</v>
      </c>
      <c r="H63" s="652">
        <v>287.60000000000002</v>
      </c>
      <c r="I63" s="652">
        <v>333.79</v>
      </c>
      <c r="J63" s="652">
        <v>360.82</v>
      </c>
      <c r="L63" s="652">
        <v>418.62</v>
      </c>
      <c r="M63" s="652">
        <v>445.71</v>
      </c>
      <c r="N63" s="652">
        <v>453.54</v>
      </c>
      <c r="O63" s="652">
        <v>460.1</v>
      </c>
      <c r="P63" s="652">
        <v>536.48</v>
      </c>
      <c r="Q63" s="678">
        <v>637.5</v>
      </c>
    </row>
    <row r="64" spans="2:17">
      <c r="B64" s="1056"/>
      <c r="C64" s="1061"/>
      <c r="D64" s="1064"/>
      <c r="E64" s="166">
        <v>2</v>
      </c>
      <c r="F64" s="664" t="s">
        <v>113</v>
      </c>
      <c r="G64" s="652">
        <v>279.18</v>
      </c>
      <c r="H64" s="652">
        <v>287.64</v>
      </c>
      <c r="I64" s="652">
        <v>333.83</v>
      </c>
      <c r="J64" s="652">
        <v>360.84</v>
      </c>
      <c r="L64" s="652">
        <v>418.63</v>
      </c>
      <c r="M64" s="652">
        <v>445.9</v>
      </c>
      <c r="N64" s="652">
        <v>453.62</v>
      </c>
      <c r="O64" s="652">
        <v>460.15</v>
      </c>
      <c r="P64" s="652">
        <v>536.57000000000005</v>
      </c>
      <c r="Q64" s="678">
        <v>637.51</v>
      </c>
    </row>
    <row r="65" spans="2:17">
      <c r="B65" s="1056"/>
      <c r="C65" s="1061"/>
      <c r="D65" s="1064"/>
      <c r="E65" s="662">
        <v>3</v>
      </c>
      <c r="F65" s="664" t="s">
        <v>113</v>
      </c>
      <c r="G65" s="652">
        <v>278.7</v>
      </c>
      <c r="H65" s="652">
        <v>287.7</v>
      </c>
      <c r="I65" s="652">
        <v>333.84</v>
      </c>
      <c r="J65" s="652">
        <v>360.84</v>
      </c>
      <c r="L65" s="652">
        <v>418.78</v>
      </c>
      <c r="M65" s="652">
        <v>446.13</v>
      </c>
      <c r="N65" s="652">
        <v>453.51</v>
      </c>
      <c r="O65" s="652">
        <v>460.35</v>
      </c>
      <c r="P65" s="652">
        <v>536.82000000000005</v>
      </c>
      <c r="Q65" s="678">
        <v>637.49</v>
      </c>
    </row>
    <row r="66" spans="2:17" ht="15" customHeight="1">
      <c r="B66" s="1056"/>
      <c r="C66" s="1061"/>
      <c r="D66" s="1064"/>
      <c r="E66" s="166">
        <v>4</v>
      </c>
      <c r="F66" s="664" t="s">
        <v>113</v>
      </c>
      <c r="G66" s="665">
        <v>278.98</v>
      </c>
      <c r="H66" s="665">
        <v>288.08</v>
      </c>
      <c r="I66" s="665">
        <v>334.18</v>
      </c>
      <c r="J66" s="665">
        <v>361.04</v>
      </c>
      <c r="L66" s="665">
        <v>418.29</v>
      </c>
      <c r="M66" s="665">
        <v>446.45</v>
      </c>
      <c r="N66" s="665">
        <v>453.2</v>
      </c>
      <c r="O66" s="665">
        <v>459.74</v>
      </c>
      <c r="P66" s="665">
        <v>536.62</v>
      </c>
      <c r="Q66" s="679">
        <v>637.75</v>
      </c>
    </row>
    <row r="67" spans="2:17" ht="15" customHeight="1" thickBot="1">
      <c r="B67" s="1056"/>
      <c r="C67" s="1061"/>
      <c r="D67" s="1064"/>
      <c r="E67" s="165">
        <v>5</v>
      </c>
      <c r="F67" s="663" t="s">
        <v>113</v>
      </c>
      <c r="G67" s="666">
        <v>278.64</v>
      </c>
      <c r="H67" s="653">
        <v>288.01</v>
      </c>
      <c r="I67" s="653">
        <v>334.23</v>
      </c>
      <c r="J67" s="653">
        <v>361.01</v>
      </c>
      <c r="L67" s="653">
        <v>418.15</v>
      </c>
      <c r="M67" s="653">
        <v>446.71</v>
      </c>
      <c r="N67" s="184" t="s">
        <v>113</v>
      </c>
      <c r="O67" s="653">
        <v>459.11</v>
      </c>
      <c r="P67" s="653">
        <v>536.64</v>
      </c>
      <c r="Q67" s="680">
        <v>637.75</v>
      </c>
    </row>
    <row r="68" spans="2:17" ht="15" customHeight="1">
      <c r="B68" s="1056"/>
      <c r="C68" s="1061"/>
      <c r="D68" s="1064"/>
      <c r="E68" s="1021" t="s">
        <v>391</v>
      </c>
      <c r="F68" s="1022"/>
      <c r="G68" s="1022"/>
      <c r="H68" s="1022"/>
      <c r="I68" s="1022"/>
      <c r="J68" s="1022"/>
      <c r="K68" s="1022"/>
      <c r="L68" s="1022"/>
      <c r="M68" s="1022"/>
      <c r="N68" s="1022"/>
      <c r="O68" s="1022"/>
      <c r="P68" s="1022"/>
      <c r="Q68" s="1023"/>
    </row>
    <row r="69" spans="2:17">
      <c r="B69" s="1056"/>
      <c r="C69" s="1061"/>
      <c r="D69" s="1064"/>
      <c r="E69" s="1035"/>
      <c r="F69" s="1036"/>
      <c r="G69" s="1036"/>
      <c r="H69" s="1036"/>
      <c r="I69" s="1036"/>
      <c r="J69" s="1036"/>
      <c r="K69" s="1036"/>
      <c r="L69" s="1036"/>
      <c r="M69" s="1036"/>
      <c r="N69" s="1036"/>
      <c r="O69" s="1036"/>
      <c r="P69" s="1036"/>
      <c r="Q69" s="1037"/>
    </row>
    <row r="70" spans="2:17">
      <c r="B70" s="1056"/>
      <c r="C70" s="1061"/>
      <c r="D70" s="1064"/>
      <c r="E70" s="247" t="s">
        <v>156</v>
      </c>
      <c r="F70" s="1038">
        <v>0.13</v>
      </c>
      <c r="G70" s="1039"/>
      <c r="H70" s="1039"/>
      <c r="I70" s="1039"/>
      <c r="J70" s="1039"/>
      <c r="K70" s="1039"/>
      <c r="L70" s="1039"/>
      <c r="M70" s="1039"/>
      <c r="N70" s="1039"/>
      <c r="O70" s="1039"/>
      <c r="P70" s="1039"/>
      <c r="Q70" s="1040"/>
    </row>
    <row r="71" spans="2:17">
      <c r="B71" s="1056"/>
      <c r="C71" s="1061"/>
      <c r="D71" s="1064"/>
      <c r="E71" s="166" t="s">
        <v>157</v>
      </c>
      <c r="F71" s="1041">
        <v>2</v>
      </c>
      <c r="G71" s="1042"/>
      <c r="H71" s="1042"/>
      <c r="I71" s="1042"/>
      <c r="J71" s="1042"/>
      <c r="K71" s="1042"/>
      <c r="L71" s="1042"/>
      <c r="M71" s="1042"/>
      <c r="N71" s="1042"/>
      <c r="O71" s="1042"/>
      <c r="P71" s="1042"/>
      <c r="Q71" s="1043"/>
    </row>
    <row r="72" spans="2:17" ht="15.75" thickBot="1">
      <c r="B72" s="1057"/>
      <c r="C72" s="1062"/>
      <c r="D72" s="1065"/>
      <c r="E72" s="249" t="s">
        <v>158</v>
      </c>
      <c r="F72" s="1044" t="s">
        <v>159</v>
      </c>
      <c r="G72" s="1045"/>
      <c r="H72" s="1045"/>
      <c r="I72" s="1045"/>
      <c r="J72" s="1045"/>
      <c r="K72" s="1045"/>
      <c r="L72" s="1045"/>
      <c r="M72" s="1045"/>
      <c r="N72" s="1045"/>
      <c r="O72" s="1045"/>
      <c r="P72" s="1045"/>
      <c r="Q72" s="1046"/>
    </row>
    <row r="73" spans="2:17" ht="15.75" customHeight="1">
      <c r="E73" s="1021" t="s">
        <v>107</v>
      </c>
      <c r="F73" s="1022"/>
      <c r="G73" s="1022"/>
      <c r="H73" s="1022"/>
      <c r="I73" s="1022"/>
      <c r="J73" s="1022"/>
      <c r="K73" s="1022"/>
      <c r="L73" s="1022"/>
      <c r="M73" s="1022"/>
      <c r="N73" s="1022"/>
      <c r="O73" s="1022"/>
      <c r="P73" s="1022"/>
      <c r="Q73" s="1023"/>
    </row>
    <row r="74" spans="2:17" ht="15.75" thickBot="1">
      <c r="E74" s="1024">
        <v>44419</v>
      </c>
      <c r="F74" s="1025"/>
      <c r="G74" s="1025"/>
      <c r="H74" s="1025"/>
      <c r="I74" s="1025"/>
      <c r="J74" s="1025"/>
      <c r="K74" s="1025"/>
      <c r="L74" s="1025"/>
      <c r="M74" s="1025"/>
      <c r="N74" s="1025"/>
      <c r="O74" s="1025"/>
      <c r="P74" s="1025"/>
      <c r="Q74" s="1026"/>
    </row>
  </sheetData>
  <mergeCells count="41">
    <mergeCell ref="U18:U20"/>
    <mergeCell ref="E21:E23"/>
    <mergeCell ref="U21:U23"/>
    <mergeCell ref="B59:B72"/>
    <mergeCell ref="C56:Q56"/>
    <mergeCell ref="B57:B58"/>
    <mergeCell ref="C57:C58"/>
    <mergeCell ref="D57:D58"/>
    <mergeCell ref="C59:C72"/>
    <mergeCell ref="D59:D72"/>
    <mergeCell ref="U7:U9"/>
    <mergeCell ref="E10:E12"/>
    <mergeCell ref="U10:U12"/>
    <mergeCell ref="B14:B16"/>
    <mergeCell ref="E14:E16"/>
    <mergeCell ref="S4:AG4"/>
    <mergeCell ref="B5:B6"/>
    <mergeCell ref="C5:C6"/>
    <mergeCell ref="D5:D6"/>
    <mergeCell ref="G5:K5"/>
    <mergeCell ref="L5:P5"/>
    <mergeCell ref="Q5:Q6"/>
    <mergeCell ref="S5:S6"/>
    <mergeCell ref="T5:T6"/>
    <mergeCell ref="W5:AA5"/>
    <mergeCell ref="AB5:AF5"/>
    <mergeCell ref="AG5:AG6"/>
    <mergeCell ref="E73:Q73"/>
    <mergeCell ref="E74:Q74"/>
    <mergeCell ref="B1:R1"/>
    <mergeCell ref="B2:R2"/>
    <mergeCell ref="C4:Q4"/>
    <mergeCell ref="B7:B12"/>
    <mergeCell ref="E7:E9"/>
    <mergeCell ref="B18:B23"/>
    <mergeCell ref="E18:E20"/>
    <mergeCell ref="F57:Q57"/>
    <mergeCell ref="E68:Q69"/>
    <mergeCell ref="F70:Q70"/>
    <mergeCell ref="F71:Q71"/>
    <mergeCell ref="F72:Q72"/>
  </mergeCells>
  <phoneticPr fontId="96" type="noConversion"/>
  <conditionalFormatting sqref="C4">
    <cfRule type="expression" dxfId="57" priority="22">
      <formula>$AP4=1</formula>
    </cfRule>
  </conditionalFormatting>
  <conditionalFormatting sqref="K8:K12 G7:K7">
    <cfRule type="expression" dxfId="56" priority="21">
      <formula>$AP7=1</formula>
    </cfRule>
  </conditionalFormatting>
  <conditionalFormatting sqref="G8:J8">
    <cfRule type="expression" dxfId="55" priority="20">
      <formula>$AP8=1</formula>
    </cfRule>
  </conditionalFormatting>
  <conditionalFormatting sqref="L7:P10">
    <cfRule type="expression" dxfId="54" priority="23">
      <formula>#REF!=1</formula>
    </cfRule>
  </conditionalFormatting>
  <conditionalFormatting sqref="C56">
    <cfRule type="expression" dxfId="53" priority="19">
      <formula>$AP56=1</formula>
    </cfRule>
  </conditionalFormatting>
  <conditionalFormatting sqref="S4">
    <cfRule type="expression" dxfId="52" priority="17">
      <formula>$AP25=1</formula>
    </cfRule>
  </conditionalFormatting>
  <conditionalFormatting sqref="AA8:AA12 W7:AA7">
    <cfRule type="expression" dxfId="51" priority="16">
      <formula>$AP28=1</formula>
    </cfRule>
  </conditionalFormatting>
  <conditionalFormatting sqref="W8:Z8">
    <cfRule type="expression" dxfId="50" priority="15">
      <formula>$AP29=1</formula>
    </cfRule>
  </conditionalFormatting>
  <conditionalFormatting sqref="AB7:AF10">
    <cfRule type="expression" dxfId="49" priority="18">
      <formula>#REF!=1</formula>
    </cfRule>
  </conditionalFormatting>
  <conditionalFormatting sqref="K19:K20 G18:K18">
    <cfRule type="expression" dxfId="48" priority="13">
      <formula>$AP18=1</formula>
    </cfRule>
  </conditionalFormatting>
  <conditionalFormatting sqref="G19:J19">
    <cfRule type="expression" dxfId="47" priority="12">
      <formula>$AP19=1</formula>
    </cfRule>
  </conditionalFormatting>
  <conditionalFormatting sqref="L18:P20">
    <cfRule type="expression" dxfId="46" priority="14">
      <formula>#REF!=1</formula>
    </cfRule>
  </conditionalFormatting>
  <conditionalFormatting sqref="K22:K23 G21:K21">
    <cfRule type="expression" dxfId="45" priority="11">
      <formula>$AP21=1</formula>
    </cfRule>
  </conditionalFormatting>
  <conditionalFormatting sqref="G22:J22">
    <cfRule type="expression" dxfId="44" priority="10">
      <formula>$AP22=1</formula>
    </cfRule>
  </conditionalFormatting>
  <conditionalFormatting sqref="L21:P23">
    <cfRule type="expression" dxfId="43" priority="9">
      <formula>#REF!=1</formula>
    </cfRule>
  </conditionalFormatting>
  <conditionalFormatting sqref="AA19:AA20 W18:AA18">
    <cfRule type="expression" dxfId="42" priority="7">
      <formula>$AP35=1</formula>
    </cfRule>
  </conditionalFormatting>
  <conditionalFormatting sqref="W19:Z19">
    <cfRule type="expression" dxfId="41" priority="6">
      <formula>$AP36=1</formula>
    </cfRule>
  </conditionalFormatting>
  <conditionalFormatting sqref="AB18:AF21">
    <cfRule type="expression" dxfId="40" priority="8">
      <formula>#REF!=1</formula>
    </cfRule>
  </conditionalFormatting>
  <conditionalFormatting sqref="AA22:AA23 W21:AA21">
    <cfRule type="expression" dxfId="39" priority="5">
      <formula>$AP38=1</formula>
    </cfRule>
  </conditionalFormatting>
  <conditionalFormatting sqref="W22:Z22">
    <cfRule type="expression" dxfId="38" priority="4">
      <formula>$AP39=1</formula>
    </cfRule>
  </conditionalFormatting>
  <conditionalFormatting sqref="K15:K16 G14:K14">
    <cfRule type="expression" dxfId="37" priority="2">
      <formula>$AP14=1</formula>
    </cfRule>
  </conditionalFormatting>
  <conditionalFormatting sqref="G15:J15">
    <cfRule type="expression" dxfId="36" priority="1">
      <formula>$AP15=1</formula>
    </cfRule>
  </conditionalFormatting>
  <conditionalFormatting sqref="L14:P16">
    <cfRule type="expression" dxfId="35" priority="3">
      <formula>#REF!=1</formula>
    </cfRule>
  </conditionalFormatting>
  <pageMargins left="0.511811024" right="0.511811024" top="0.78740157499999996" bottom="0.78740157499999996" header="0.31496062000000002" footer="0.31496062000000002"/>
  <pageSetup paperSize="9" orientation="portrait" horizontalDpi="0" verticalDpi="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I183"/>
  <sheetViews>
    <sheetView zoomScale="110" zoomScaleNormal="110" workbookViewId="0">
      <selection activeCell="L15" sqref="L15"/>
    </sheetView>
  </sheetViews>
  <sheetFormatPr defaultRowHeight="15"/>
  <cols>
    <col min="1" max="1" width="3" customWidth="1"/>
    <col min="4" max="4" width="10.5703125" customWidth="1"/>
    <col min="17" max="17" width="12.42578125" customWidth="1"/>
    <col min="18" max="18" width="4.85546875" customWidth="1"/>
    <col min="33" max="33" width="10.42578125" customWidth="1"/>
  </cols>
  <sheetData>
    <row r="1" spans="2:33" ht="23.25">
      <c r="B1" s="1004" t="s">
        <v>114</v>
      </c>
      <c r="C1" s="1004"/>
      <c r="D1" s="1004"/>
      <c r="E1" s="1004"/>
      <c r="F1" s="1004"/>
      <c r="G1" s="1004"/>
      <c r="H1" s="1004"/>
      <c r="I1" s="1004"/>
      <c r="J1" s="1004"/>
      <c r="K1" s="1004"/>
      <c r="L1" s="1004"/>
      <c r="M1" s="1004"/>
      <c r="N1" s="1004"/>
      <c r="O1" s="1004"/>
      <c r="P1" s="1004"/>
      <c r="Q1" s="1004"/>
      <c r="R1" s="1004"/>
      <c r="S1">
        <v>1</v>
      </c>
      <c r="T1">
        <f>IF(S1=1, VLOOKUP(1, E7:K9,3), VLOOKUP(5,E10:K12,3))</f>
        <v>1.0061</v>
      </c>
    </row>
    <row r="2" spans="2:33" ht="20.25">
      <c r="B2" s="1005" t="s">
        <v>108</v>
      </c>
      <c r="C2" s="1005"/>
      <c r="D2" s="1005"/>
      <c r="E2" s="1005"/>
      <c r="F2" s="1005"/>
      <c r="G2" s="1005"/>
      <c r="H2" s="1005"/>
      <c r="I2" s="1005"/>
      <c r="J2" s="1005"/>
      <c r="K2" s="1005"/>
      <c r="L2" s="1005"/>
      <c r="M2" s="1005"/>
      <c r="N2" s="1005"/>
      <c r="O2" s="1005"/>
      <c r="P2" s="1005"/>
      <c r="Q2" s="1005"/>
      <c r="R2" s="1005"/>
    </row>
    <row r="3" spans="2:33" ht="6" customHeight="1" thickBot="1"/>
    <row r="4" spans="2:33" ht="15.75" thickBot="1">
      <c r="B4" s="1027" t="s">
        <v>151</v>
      </c>
      <c r="C4" s="1028"/>
      <c r="D4" s="1028"/>
      <c r="E4" s="1028"/>
      <c r="F4" s="1028"/>
      <c r="G4" s="1028"/>
      <c r="H4" s="1028"/>
      <c r="I4" s="1028"/>
      <c r="J4" s="1028"/>
      <c r="K4" s="1028"/>
      <c r="L4" s="1028"/>
      <c r="M4" s="1028"/>
      <c r="N4" s="1028"/>
      <c r="O4" s="1028"/>
      <c r="P4" s="1028"/>
      <c r="Q4" s="1029"/>
      <c r="S4" s="1027" t="s">
        <v>160</v>
      </c>
      <c r="T4" s="1028"/>
      <c r="U4" s="1028"/>
      <c r="V4" s="1028"/>
      <c r="W4" s="1028"/>
      <c r="X4" s="1028"/>
      <c r="Y4" s="1028"/>
      <c r="Z4" s="1028"/>
      <c r="AA4" s="1028"/>
      <c r="AB4" s="1028"/>
      <c r="AC4" s="1028"/>
      <c r="AD4" s="1028"/>
      <c r="AE4" s="1028"/>
      <c r="AF4" s="1028"/>
      <c r="AG4" s="1029"/>
    </row>
    <row r="5" spans="2:33">
      <c r="B5" s="1047" t="s">
        <v>178</v>
      </c>
      <c r="C5" s="1047" t="s">
        <v>109</v>
      </c>
      <c r="D5" s="1049" t="s">
        <v>106</v>
      </c>
      <c r="E5" s="146" t="s">
        <v>110</v>
      </c>
      <c r="F5" s="146" t="s">
        <v>59</v>
      </c>
      <c r="G5" s="1022" t="s">
        <v>153</v>
      </c>
      <c r="H5" s="1022"/>
      <c r="I5" s="1022"/>
      <c r="J5" s="1022"/>
      <c r="K5" s="1023"/>
      <c r="L5" s="1051" t="s">
        <v>154</v>
      </c>
      <c r="M5" s="1051"/>
      <c r="N5" s="1051"/>
      <c r="O5" s="1051"/>
      <c r="P5" s="1052"/>
      <c r="Q5" s="1053" t="s">
        <v>107</v>
      </c>
      <c r="S5" s="1047" t="s">
        <v>109</v>
      </c>
      <c r="T5" s="1049" t="s">
        <v>106</v>
      </c>
      <c r="U5" s="146" t="s">
        <v>110</v>
      </c>
      <c r="V5" s="146" t="s">
        <v>150</v>
      </c>
      <c r="W5" s="1022" t="s">
        <v>188</v>
      </c>
      <c r="X5" s="1022"/>
      <c r="Y5" s="1022"/>
      <c r="Z5" s="1022"/>
      <c r="AA5" s="1023"/>
      <c r="AB5" s="1051" t="s">
        <v>189</v>
      </c>
      <c r="AC5" s="1051"/>
      <c r="AD5" s="1051"/>
      <c r="AE5" s="1051"/>
      <c r="AF5" s="1052"/>
      <c r="AG5" s="1053" t="s">
        <v>107</v>
      </c>
    </row>
    <row r="6" spans="2:33" ht="15.75" thickBot="1">
      <c r="B6" s="1048"/>
      <c r="C6" s="1048"/>
      <c r="D6" s="1050"/>
      <c r="E6" s="175" t="s">
        <v>111</v>
      </c>
      <c r="F6" s="175" t="s">
        <v>112</v>
      </c>
      <c r="G6" s="176">
        <v>440</v>
      </c>
      <c r="H6" s="176">
        <v>465</v>
      </c>
      <c r="I6" s="176">
        <v>546.1</v>
      </c>
      <c r="J6" s="176">
        <v>590</v>
      </c>
      <c r="K6" s="177">
        <v>635</v>
      </c>
      <c r="L6" s="176">
        <v>440</v>
      </c>
      <c r="M6" s="176">
        <v>465</v>
      </c>
      <c r="N6" s="176">
        <v>546.1</v>
      </c>
      <c r="O6" s="176">
        <v>590</v>
      </c>
      <c r="P6" s="177">
        <v>635</v>
      </c>
      <c r="Q6" s="1054"/>
      <c r="S6" s="1048"/>
      <c r="T6" s="1050"/>
      <c r="U6" s="175" t="s">
        <v>111</v>
      </c>
      <c r="V6" s="175" t="s">
        <v>112</v>
      </c>
      <c r="W6" s="176">
        <v>440</v>
      </c>
      <c r="X6" s="176">
        <v>465</v>
      </c>
      <c r="Y6" s="176">
        <v>546.1</v>
      </c>
      <c r="Z6" s="176">
        <v>590</v>
      </c>
      <c r="AA6" s="177">
        <v>635</v>
      </c>
      <c r="AB6" s="176">
        <v>440</v>
      </c>
      <c r="AC6" s="176">
        <v>465</v>
      </c>
      <c r="AD6" s="176">
        <v>546.1</v>
      </c>
      <c r="AE6" s="176">
        <v>590</v>
      </c>
      <c r="AF6" s="177">
        <v>635</v>
      </c>
      <c r="AG6" s="1054"/>
    </row>
    <row r="7" spans="2:33" ht="15.75" thickBot="1">
      <c r="B7" s="1079" t="s">
        <v>426</v>
      </c>
      <c r="C7" s="278" t="s">
        <v>63</v>
      </c>
      <c r="D7" s="279" t="s">
        <v>68</v>
      </c>
      <c r="E7" s="1034">
        <v>1</v>
      </c>
      <c r="F7" s="183">
        <v>1</v>
      </c>
      <c r="G7" s="280">
        <v>1.0061</v>
      </c>
      <c r="H7" s="281">
        <v>0.95569999999999999</v>
      </c>
      <c r="I7" s="281">
        <v>1.0014000000000001</v>
      </c>
      <c r="J7" s="281">
        <v>1.0978000000000001</v>
      </c>
      <c r="K7" s="282">
        <v>1.0900000000000001</v>
      </c>
      <c r="L7" s="159">
        <v>5.4000000000000003E-3</v>
      </c>
      <c r="M7" s="160">
        <v>5.4000000000000003E-3</v>
      </c>
      <c r="N7" s="160">
        <v>5.4000000000000003E-3</v>
      </c>
      <c r="O7" s="160">
        <v>5.4000000000000003E-3</v>
      </c>
      <c r="P7" s="161">
        <v>5.4000000000000003E-3</v>
      </c>
      <c r="Q7" s="277">
        <v>44414</v>
      </c>
      <c r="S7" s="278" t="s">
        <v>63</v>
      </c>
      <c r="T7" s="279" t="s">
        <v>68</v>
      </c>
      <c r="U7" s="1034">
        <v>1</v>
      </c>
      <c r="V7" s="183">
        <v>10</v>
      </c>
      <c r="W7" s="273">
        <v>9.86</v>
      </c>
      <c r="X7" s="274">
        <v>11.07</v>
      </c>
      <c r="Y7" s="274">
        <v>9.9700000000000006</v>
      </c>
      <c r="Z7" s="274">
        <v>7.98</v>
      </c>
      <c r="AA7" s="275">
        <v>8.1300000000000008</v>
      </c>
      <c r="AB7" s="241">
        <v>0.12</v>
      </c>
      <c r="AC7" s="242">
        <v>0.12</v>
      </c>
      <c r="AD7" s="242">
        <v>0.12</v>
      </c>
      <c r="AE7" s="242">
        <v>0.12</v>
      </c>
      <c r="AF7" s="243">
        <v>0.12</v>
      </c>
      <c r="AG7" s="277">
        <v>44414</v>
      </c>
    </row>
    <row r="8" spans="2:33" ht="15.75" thickBot="1">
      <c r="B8" s="1080"/>
      <c r="C8" s="142" t="s">
        <v>63</v>
      </c>
      <c r="D8" s="143" t="s">
        <v>69</v>
      </c>
      <c r="E8" s="1034"/>
      <c r="F8" s="178">
        <v>0.5</v>
      </c>
      <c r="G8" s="147">
        <v>0.55200000000000005</v>
      </c>
      <c r="H8" s="148">
        <v>0.51339999999999997</v>
      </c>
      <c r="I8" s="148">
        <v>0.51170000000000004</v>
      </c>
      <c r="J8" s="148">
        <v>0.54500000000000004</v>
      </c>
      <c r="K8" s="149">
        <v>0.55230000000000001</v>
      </c>
      <c r="L8" s="150">
        <v>4.0000000000000001E-3</v>
      </c>
      <c r="M8" s="151">
        <v>4.0000000000000001E-3</v>
      </c>
      <c r="N8" s="151">
        <v>4.0000000000000001E-3</v>
      </c>
      <c r="O8" s="151">
        <v>4.0000000000000001E-3</v>
      </c>
      <c r="P8" s="151">
        <v>4.0000000000000001E-3</v>
      </c>
      <c r="Q8" s="180">
        <v>44414</v>
      </c>
      <c r="S8" s="142" t="s">
        <v>63</v>
      </c>
      <c r="T8" s="143" t="s">
        <v>69</v>
      </c>
      <c r="U8" s="1034"/>
      <c r="V8" s="178">
        <v>30</v>
      </c>
      <c r="W8" s="232">
        <v>28.05</v>
      </c>
      <c r="X8" s="233">
        <v>30.66</v>
      </c>
      <c r="Y8" s="233">
        <v>30.78</v>
      </c>
      <c r="Z8" s="233">
        <v>28.51</v>
      </c>
      <c r="AA8" s="234">
        <v>28.04</v>
      </c>
      <c r="AB8" s="235">
        <v>0.23</v>
      </c>
      <c r="AC8" s="236">
        <v>0.23</v>
      </c>
      <c r="AD8" s="236">
        <v>0.23</v>
      </c>
      <c r="AE8" s="236">
        <v>0.23</v>
      </c>
      <c r="AF8" s="236">
        <v>0.23</v>
      </c>
      <c r="AG8" s="180">
        <v>44414</v>
      </c>
    </row>
    <row r="9" spans="2:33" ht="15.75" thickBot="1">
      <c r="B9" s="1080"/>
      <c r="C9" s="142" t="s">
        <v>63</v>
      </c>
      <c r="D9" s="143" t="s">
        <v>45</v>
      </c>
      <c r="E9" s="1034"/>
      <c r="F9" s="181">
        <v>0.25</v>
      </c>
      <c r="G9" s="153">
        <v>0.26629999999999998</v>
      </c>
      <c r="H9" s="154">
        <v>0.24030000000000001</v>
      </c>
      <c r="I9" s="154">
        <v>0.24990000000000001</v>
      </c>
      <c r="J9" s="154">
        <v>0.29380000000000001</v>
      </c>
      <c r="K9" s="155">
        <v>0.30159999999999998</v>
      </c>
      <c r="L9" s="156">
        <v>4.0000000000000001E-3</v>
      </c>
      <c r="M9" s="157">
        <v>4.0000000000000001E-3</v>
      </c>
      <c r="N9" s="157">
        <v>4.0000000000000001E-3</v>
      </c>
      <c r="O9" s="157">
        <v>4.0000000000000001E-3</v>
      </c>
      <c r="P9" s="157">
        <v>4.0000000000000001E-3</v>
      </c>
      <c r="Q9" s="182">
        <v>44414</v>
      </c>
      <c r="S9" s="142" t="s">
        <v>63</v>
      </c>
      <c r="T9" s="143" t="s">
        <v>45</v>
      </c>
      <c r="U9" s="1034"/>
      <c r="V9" s="181">
        <v>50</v>
      </c>
      <c r="W9" s="238">
        <v>54.16</v>
      </c>
      <c r="X9" s="239">
        <v>57.5</v>
      </c>
      <c r="Y9" s="239">
        <v>56.25</v>
      </c>
      <c r="Z9" s="239">
        <v>50.84</v>
      </c>
      <c r="AA9" s="240">
        <v>49.94</v>
      </c>
      <c r="AB9" s="244">
        <v>0.42</v>
      </c>
      <c r="AC9" s="245">
        <v>0.42</v>
      </c>
      <c r="AD9" s="245">
        <v>0.42</v>
      </c>
      <c r="AE9" s="245">
        <v>0.42</v>
      </c>
      <c r="AF9" s="245">
        <v>0.42</v>
      </c>
      <c r="AG9" s="182">
        <v>44414</v>
      </c>
    </row>
    <row r="10" spans="2:33" ht="15.75" thickBot="1">
      <c r="B10" s="1080"/>
      <c r="C10" s="142" t="s">
        <v>63</v>
      </c>
      <c r="D10" s="143" t="s">
        <v>68</v>
      </c>
      <c r="E10" s="1034">
        <v>5</v>
      </c>
      <c r="F10" s="183">
        <v>1</v>
      </c>
      <c r="G10" s="159">
        <v>1.0047999999999999</v>
      </c>
      <c r="H10" s="160">
        <v>0.95620000000000005</v>
      </c>
      <c r="I10" s="160">
        <v>1.0018</v>
      </c>
      <c r="J10" s="160">
        <v>1.0980000000000001</v>
      </c>
      <c r="K10" s="161">
        <v>1.0907</v>
      </c>
      <c r="L10" s="159">
        <v>5.3E-3</v>
      </c>
      <c r="M10" s="160">
        <v>5.3E-3</v>
      </c>
      <c r="N10" s="160">
        <v>5.3E-3</v>
      </c>
      <c r="O10" s="160">
        <v>5.3E-3</v>
      </c>
      <c r="P10" s="160">
        <v>5.3E-3</v>
      </c>
      <c r="Q10" s="179">
        <v>44414</v>
      </c>
      <c r="S10" s="142" t="s">
        <v>63</v>
      </c>
      <c r="T10" s="143" t="s">
        <v>68</v>
      </c>
      <c r="U10" s="1034">
        <v>5</v>
      </c>
      <c r="V10" s="178">
        <v>10</v>
      </c>
      <c r="W10" s="241">
        <v>9.89</v>
      </c>
      <c r="X10" s="242">
        <v>11.06</v>
      </c>
      <c r="Y10" s="242">
        <v>9.9600000000000009</v>
      </c>
      <c r="Z10" s="242">
        <v>7.98</v>
      </c>
      <c r="AA10" s="243">
        <v>8.11</v>
      </c>
      <c r="AB10" s="241">
        <v>0.11</v>
      </c>
      <c r="AC10" s="242">
        <v>0.11</v>
      </c>
      <c r="AD10" s="242">
        <v>0.11</v>
      </c>
      <c r="AE10" s="242">
        <v>0.11</v>
      </c>
      <c r="AF10" s="242">
        <v>0.11</v>
      </c>
      <c r="AG10" s="179">
        <v>44414</v>
      </c>
    </row>
    <row r="11" spans="2:33" ht="15.75" thickBot="1">
      <c r="B11" s="1080"/>
      <c r="C11" s="142" t="s">
        <v>63</v>
      </c>
      <c r="D11" s="143" t="s">
        <v>69</v>
      </c>
      <c r="E11" s="1034"/>
      <c r="F11" s="178">
        <v>0.5</v>
      </c>
      <c r="G11" s="150">
        <v>0.5514</v>
      </c>
      <c r="H11" s="151">
        <v>0.51370000000000005</v>
      </c>
      <c r="I11" s="151">
        <v>0.51180000000000003</v>
      </c>
      <c r="J11" s="151">
        <v>0.54490000000000005</v>
      </c>
      <c r="K11" s="152">
        <v>0.55249999999999999</v>
      </c>
      <c r="L11" s="150">
        <v>4.0000000000000001E-3</v>
      </c>
      <c r="M11" s="151">
        <v>4.0000000000000001E-3</v>
      </c>
      <c r="N11" s="151">
        <v>4.0000000000000001E-3</v>
      </c>
      <c r="O11" s="151">
        <v>4.0000000000000001E-3</v>
      </c>
      <c r="P11" s="151">
        <v>4.0000000000000001E-3</v>
      </c>
      <c r="Q11" s="180">
        <v>44414</v>
      </c>
      <c r="S11" s="142" t="s">
        <v>63</v>
      </c>
      <c r="T11" s="143" t="s">
        <v>69</v>
      </c>
      <c r="U11" s="1034"/>
      <c r="V11" s="178">
        <v>30</v>
      </c>
      <c r="W11" s="235">
        <v>28.09</v>
      </c>
      <c r="X11" s="236">
        <v>30.64</v>
      </c>
      <c r="Y11" s="236">
        <v>30.78</v>
      </c>
      <c r="Z11" s="236">
        <v>28.51</v>
      </c>
      <c r="AA11" s="237">
        <v>28.02</v>
      </c>
      <c r="AB11" s="235">
        <v>0.22</v>
      </c>
      <c r="AC11" s="236">
        <v>0.22</v>
      </c>
      <c r="AD11" s="236">
        <v>0.22</v>
      </c>
      <c r="AE11" s="236">
        <v>0.22</v>
      </c>
      <c r="AF11" s="237">
        <v>0.22</v>
      </c>
      <c r="AG11" s="180">
        <v>44414</v>
      </c>
    </row>
    <row r="12" spans="2:33" ht="15.75" thickBot="1">
      <c r="B12" s="1081"/>
      <c r="C12" s="144" t="s">
        <v>63</v>
      </c>
      <c r="D12" s="145" t="s">
        <v>45</v>
      </c>
      <c r="E12" s="1034"/>
      <c r="F12" s="181">
        <v>0.25</v>
      </c>
      <c r="G12" s="162">
        <v>0.26579999999999998</v>
      </c>
      <c r="H12" s="163">
        <v>0.2407</v>
      </c>
      <c r="I12" s="163">
        <v>0.25009999999999999</v>
      </c>
      <c r="J12" s="163">
        <v>0.29370000000000002</v>
      </c>
      <c r="K12" s="164">
        <v>0.30180000000000001</v>
      </c>
      <c r="L12" s="162">
        <v>4.0000000000000001E-3</v>
      </c>
      <c r="M12" s="163">
        <v>4.0000000000000001E-3</v>
      </c>
      <c r="N12" s="163">
        <v>4.0000000000000001E-3</v>
      </c>
      <c r="O12" s="163">
        <v>4.0000000000000001E-3</v>
      </c>
      <c r="P12" s="164">
        <v>4.0000000000000001E-3</v>
      </c>
      <c r="Q12" s="182">
        <v>44414</v>
      </c>
      <c r="S12" s="144" t="s">
        <v>63</v>
      </c>
      <c r="T12" s="145" t="s">
        <v>45</v>
      </c>
      <c r="U12" s="1034"/>
      <c r="V12" s="181">
        <v>50</v>
      </c>
      <c r="W12" s="244">
        <v>54.23</v>
      </c>
      <c r="X12" s="245">
        <v>57.45</v>
      </c>
      <c r="Y12" s="245">
        <v>56.22</v>
      </c>
      <c r="Z12" s="245">
        <v>50.85</v>
      </c>
      <c r="AA12" s="246">
        <v>49.91</v>
      </c>
      <c r="AB12" s="244">
        <v>0.4</v>
      </c>
      <c r="AC12" s="245">
        <v>0.4</v>
      </c>
      <c r="AD12" s="245">
        <v>0.4</v>
      </c>
      <c r="AE12" s="245">
        <v>0.4</v>
      </c>
      <c r="AF12" s="246">
        <v>0.4</v>
      </c>
      <c r="AG12" s="182">
        <v>44414</v>
      </c>
    </row>
    <row r="13" spans="2:33" ht="9" customHeight="1" thickBot="1"/>
    <row r="14" spans="2:33" ht="15.75" customHeight="1" thickBot="1">
      <c r="B14" s="1079" t="s">
        <v>425</v>
      </c>
      <c r="C14" s="278" t="s">
        <v>63</v>
      </c>
      <c r="D14" s="279" t="s">
        <v>68</v>
      </c>
      <c r="E14" s="1034">
        <v>1</v>
      </c>
      <c r="F14" s="183">
        <v>1</v>
      </c>
      <c r="G14" s="280">
        <v>1.0057</v>
      </c>
      <c r="H14" s="281">
        <v>0.95679999999999998</v>
      </c>
      <c r="I14" s="281">
        <v>1.0011000000000001</v>
      </c>
      <c r="J14" s="281">
        <v>1.0968</v>
      </c>
      <c r="K14" s="282">
        <v>1.0894999999999999</v>
      </c>
      <c r="L14" s="159">
        <v>5.4999999999999997E-3</v>
      </c>
      <c r="M14" s="160">
        <v>5.4999999999999997E-3</v>
      </c>
      <c r="N14" s="160">
        <v>5.4999999999999997E-3</v>
      </c>
      <c r="O14" s="160">
        <v>5.4999999999999997E-3</v>
      </c>
      <c r="P14" s="161">
        <v>5.4999999999999997E-3</v>
      </c>
      <c r="Q14" s="277">
        <v>44214</v>
      </c>
      <c r="S14" s="278" t="s">
        <v>63</v>
      </c>
      <c r="T14" s="279" t="s">
        <v>68</v>
      </c>
      <c r="U14" s="1034">
        <v>1</v>
      </c>
      <c r="V14" s="183">
        <v>10</v>
      </c>
      <c r="W14" s="273">
        <v>9.84</v>
      </c>
      <c r="X14" s="274">
        <v>11.07</v>
      </c>
      <c r="Y14" s="274">
        <v>9.98</v>
      </c>
      <c r="Z14" s="274">
        <v>8</v>
      </c>
      <c r="AA14" s="275">
        <v>8.14</v>
      </c>
      <c r="AB14" s="241">
        <v>0.12</v>
      </c>
      <c r="AC14" s="242">
        <v>0.12</v>
      </c>
      <c r="AD14" s="242">
        <v>0.12</v>
      </c>
      <c r="AE14" s="242">
        <v>0.12</v>
      </c>
      <c r="AF14" s="243">
        <v>0.12</v>
      </c>
      <c r="AG14" s="277">
        <v>44214</v>
      </c>
    </row>
    <row r="15" spans="2:33" ht="15.75" thickBot="1">
      <c r="B15" s="1080"/>
      <c r="C15" s="142" t="s">
        <v>63</v>
      </c>
      <c r="D15" s="143" t="s">
        <v>69</v>
      </c>
      <c r="E15" s="1034"/>
      <c r="F15" s="178">
        <v>0.5</v>
      </c>
      <c r="G15" s="147">
        <v>0.55149999999999999</v>
      </c>
      <c r="H15" s="148">
        <v>0.51400000000000001</v>
      </c>
      <c r="I15" s="148">
        <v>0.51149999999999995</v>
      </c>
      <c r="J15" s="148">
        <v>0.54459999999999997</v>
      </c>
      <c r="K15" s="149">
        <v>0.55210000000000004</v>
      </c>
      <c r="L15" s="150">
        <v>4.0000000000000001E-3</v>
      </c>
      <c r="M15" s="151">
        <v>4.0000000000000001E-3</v>
      </c>
      <c r="N15" s="151">
        <v>4.0000000000000001E-3</v>
      </c>
      <c r="O15" s="151">
        <v>4.0000000000000001E-3</v>
      </c>
      <c r="P15" s="152">
        <v>4.0000000000000001E-3</v>
      </c>
      <c r="Q15" s="180">
        <v>44214</v>
      </c>
      <c r="S15" s="142" t="s">
        <v>63</v>
      </c>
      <c r="T15" s="143" t="s">
        <v>69</v>
      </c>
      <c r="U15" s="1034"/>
      <c r="V15" s="178">
        <v>30</v>
      </c>
      <c r="W15" s="232">
        <v>28.03</v>
      </c>
      <c r="X15" s="233">
        <v>30.65</v>
      </c>
      <c r="Y15" s="233">
        <v>30.81</v>
      </c>
      <c r="Z15" s="233">
        <v>28.54</v>
      </c>
      <c r="AA15" s="234">
        <v>28.07</v>
      </c>
      <c r="AB15" s="235">
        <v>0.23</v>
      </c>
      <c r="AC15" s="236">
        <v>0.23</v>
      </c>
      <c r="AD15" s="236">
        <v>0.23</v>
      </c>
      <c r="AE15" s="236">
        <v>0.23</v>
      </c>
      <c r="AF15" s="237">
        <v>0.23</v>
      </c>
      <c r="AG15" s="180">
        <v>44214</v>
      </c>
    </row>
    <row r="16" spans="2:33" ht="15.75" thickBot="1">
      <c r="B16" s="1080"/>
      <c r="C16" s="142" t="s">
        <v>63</v>
      </c>
      <c r="D16" s="143" t="s">
        <v>45</v>
      </c>
      <c r="E16" s="1034"/>
      <c r="F16" s="181">
        <v>0.25</v>
      </c>
      <c r="G16" s="153">
        <v>0.2661</v>
      </c>
      <c r="H16" s="154">
        <v>0.2412</v>
      </c>
      <c r="I16" s="154">
        <v>0.2505</v>
      </c>
      <c r="J16" s="154">
        <v>0.29399999999999998</v>
      </c>
      <c r="K16" s="155">
        <v>0.30199999999999999</v>
      </c>
      <c r="L16" s="156">
        <v>4.0000000000000001E-3</v>
      </c>
      <c r="M16" s="157">
        <v>4.0000000000000001E-3</v>
      </c>
      <c r="N16" s="157">
        <v>4.0000000000000001E-3</v>
      </c>
      <c r="O16" s="157">
        <v>4.0000000000000001E-3</v>
      </c>
      <c r="P16" s="158">
        <v>4.0000000000000001E-3</v>
      </c>
      <c r="Q16" s="182">
        <v>44214</v>
      </c>
      <c r="S16" s="142" t="s">
        <v>63</v>
      </c>
      <c r="T16" s="143" t="s">
        <v>45</v>
      </c>
      <c r="U16" s="1034"/>
      <c r="V16" s="181">
        <v>50</v>
      </c>
      <c r="W16" s="238">
        <v>54.11</v>
      </c>
      <c r="X16" s="239">
        <v>57.47</v>
      </c>
      <c r="Y16" s="239">
        <v>56.22</v>
      </c>
      <c r="Z16" s="239">
        <v>50.86</v>
      </c>
      <c r="AA16" s="240">
        <v>49.93</v>
      </c>
      <c r="AB16" s="244">
        <v>0.42</v>
      </c>
      <c r="AC16" s="245">
        <v>0.42</v>
      </c>
      <c r="AD16" s="245">
        <v>0.42</v>
      </c>
      <c r="AE16" s="245">
        <v>0.42</v>
      </c>
      <c r="AF16" s="246">
        <v>0.42</v>
      </c>
      <c r="AG16" s="182">
        <v>44214</v>
      </c>
    </row>
    <row r="17" spans="2:35" ht="15.75" thickBot="1">
      <c r="B17" s="1080"/>
      <c r="C17" s="142" t="s">
        <v>63</v>
      </c>
      <c r="D17" s="143" t="s">
        <v>68</v>
      </c>
      <c r="E17" s="1034">
        <v>5</v>
      </c>
      <c r="F17" s="183">
        <v>1</v>
      </c>
      <c r="G17" s="159">
        <v>1.0057</v>
      </c>
      <c r="H17" s="160">
        <v>0.95679999999999998</v>
      </c>
      <c r="I17" s="160">
        <v>1.0011000000000001</v>
      </c>
      <c r="J17" s="160">
        <v>1.0968</v>
      </c>
      <c r="K17" s="161">
        <v>1.0894999999999999</v>
      </c>
      <c r="L17" s="159">
        <v>5.4000000000000003E-3</v>
      </c>
      <c r="M17" s="160">
        <v>5.4000000000000003E-3</v>
      </c>
      <c r="N17" s="160">
        <v>5.4000000000000003E-3</v>
      </c>
      <c r="O17" s="160">
        <v>5.4000000000000003E-3</v>
      </c>
      <c r="P17" s="161">
        <v>5.4000000000000003E-3</v>
      </c>
      <c r="Q17" s="179">
        <v>44214</v>
      </c>
      <c r="S17" s="142" t="s">
        <v>63</v>
      </c>
      <c r="T17" s="143" t="s">
        <v>68</v>
      </c>
      <c r="U17" s="1034">
        <v>5</v>
      </c>
      <c r="V17" s="178">
        <v>10</v>
      </c>
      <c r="W17" s="241">
        <v>9.84</v>
      </c>
      <c r="X17" s="242">
        <v>11.07</v>
      </c>
      <c r="Y17" s="242">
        <v>9.98</v>
      </c>
      <c r="Z17" s="242">
        <v>8</v>
      </c>
      <c r="AA17" s="243">
        <v>8.14</v>
      </c>
      <c r="AB17" s="241">
        <v>0.11</v>
      </c>
      <c r="AC17" s="242">
        <v>0.11</v>
      </c>
      <c r="AD17" s="242">
        <v>0.11</v>
      </c>
      <c r="AE17" s="242">
        <v>0.11</v>
      </c>
      <c r="AF17" s="243">
        <v>0.11</v>
      </c>
      <c r="AG17" s="179">
        <v>44214</v>
      </c>
    </row>
    <row r="18" spans="2:35" ht="15.75" thickBot="1">
      <c r="B18" s="1080"/>
      <c r="C18" s="142" t="s">
        <v>63</v>
      </c>
      <c r="D18" s="143" t="s">
        <v>69</v>
      </c>
      <c r="E18" s="1034"/>
      <c r="F18" s="178">
        <v>0.5</v>
      </c>
      <c r="G18" s="150">
        <v>0.55149999999999999</v>
      </c>
      <c r="H18" s="151">
        <v>0.51400000000000001</v>
      </c>
      <c r="I18" s="151">
        <v>0.51149999999999995</v>
      </c>
      <c r="J18" s="151">
        <v>0.54459999999999997</v>
      </c>
      <c r="K18" s="152">
        <v>0.55210000000000004</v>
      </c>
      <c r="L18" s="150">
        <v>4.0000000000000001E-3</v>
      </c>
      <c r="M18" s="151">
        <v>4.0000000000000001E-3</v>
      </c>
      <c r="N18" s="151">
        <v>4.0000000000000001E-3</v>
      </c>
      <c r="O18" s="151">
        <v>4.0000000000000001E-3</v>
      </c>
      <c r="P18" s="152">
        <v>4.0000000000000001E-3</v>
      </c>
      <c r="Q18" s="180">
        <v>44214</v>
      </c>
      <c r="S18" s="142" t="s">
        <v>63</v>
      </c>
      <c r="T18" s="143" t="s">
        <v>69</v>
      </c>
      <c r="U18" s="1034"/>
      <c r="V18" s="178">
        <v>30</v>
      </c>
      <c r="W18" s="235">
        <v>28.09</v>
      </c>
      <c r="X18" s="236">
        <v>30.62</v>
      </c>
      <c r="Y18" s="236">
        <v>30.8</v>
      </c>
      <c r="Z18" s="236">
        <v>28.54</v>
      </c>
      <c r="AA18" s="237">
        <v>28.05</v>
      </c>
      <c r="AB18" s="235">
        <v>0.22</v>
      </c>
      <c r="AC18" s="236">
        <v>0.22</v>
      </c>
      <c r="AD18" s="236">
        <v>0.22</v>
      </c>
      <c r="AE18" s="236">
        <v>0.22</v>
      </c>
      <c r="AF18" s="237">
        <v>0.22</v>
      </c>
      <c r="AG18" s="180">
        <v>44214</v>
      </c>
    </row>
    <row r="19" spans="2:35" ht="15.75" thickBot="1">
      <c r="B19" s="1081"/>
      <c r="C19" s="144" t="s">
        <v>63</v>
      </c>
      <c r="D19" s="145" t="s">
        <v>45</v>
      </c>
      <c r="E19" s="1034"/>
      <c r="F19" s="181">
        <v>0.25</v>
      </c>
      <c r="G19" s="162">
        <v>0.2661</v>
      </c>
      <c r="H19" s="163">
        <v>0.2412</v>
      </c>
      <c r="I19" s="163">
        <v>0.2505</v>
      </c>
      <c r="J19" s="163">
        <v>0.29399999999999998</v>
      </c>
      <c r="K19" s="164">
        <v>0.30199999999999999</v>
      </c>
      <c r="L19" s="162">
        <v>4.0000000000000001E-3</v>
      </c>
      <c r="M19" s="163">
        <v>4.0000000000000001E-3</v>
      </c>
      <c r="N19" s="163">
        <v>4.0000000000000001E-3</v>
      </c>
      <c r="O19" s="163">
        <v>4.0000000000000001E-3</v>
      </c>
      <c r="P19" s="164">
        <v>4.0000000000000001E-3</v>
      </c>
      <c r="Q19" s="182">
        <v>44214</v>
      </c>
      <c r="S19" s="144" t="s">
        <v>63</v>
      </c>
      <c r="T19" s="145" t="s">
        <v>45</v>
      </c>
      <c r="U19" s="1034"/>
      <c r="V19" s="181">
        <v>50</v>
      </c>
      <c r="W19" s="244">
        <v>54.19</v>
      </c>
      <c r="X19" s="245">
        <v>57.39</v>
      </c>
      <c r="Y19" s="245">
        <v>56.17</v>
      </c>
      <c r="Z19" s="245">
        <v>50.82</v>
      </c>
      <c r="AA19" s="246">
        <v>49.89</v>
      </c>
      <c r="AB19" s="244">
        <v>0.4</v>
      </c>
      <c r="AC19" s="245">
        <v>0.4</v>
      </c>
      <c r="AD19" s="245">
        <v>0.4</v>
      </c>
      <c r="AE19" s="245">
        <v>0.4</v>
      </c>
      <c r="AF19" s="246">
        <v>0.4</v>
      </c>
      <c r="AG19" s="182">
        <v>44214</v>
      </c>
    </row>
    <row r="20" spans="2:35" ht="9" customHeight="1" thickBot="1"/>
    <row r="21" spans="2:35" ht="15.75" customHeight="1" thickBot="1">
      <c r="B21" s="1030" t="s">
        <v>310</v>
      </c>
      <c r="C21" s="278" t="s">
        <v>63</v>
      </c>
      <c r="D21" s="279" t="s">
        <v>68</v>
      </c>
      <c r="E21" s="1034">
        <v>2</v>
      </c>
      <c r="F21" s="183">
        <v>1</v>
      </c>
      <c r="G21" s="284">
        <v>1.0089999999999999</v>
      </c>
      <c r="H21" s="285">
        <v>0.95799999999999996</v>
      </c>
      <c r="I21" s="285">
        <v>1.0009999999999999</v>
      </c>
      <c r="J21" s="285">
        <v>1.097</v>
      </c>
      <c r="K21" s="286">
        <v>1.089</v>
      </c>
      <c r="L21" s="293">
        <v>8.0000000000000002E-3</v>
      </c>
      <c r="M21" s="294">
        <v>8.0000000000000002E-3</v>
      </c>
      <c r="N21" s="294">
        <v>8.0000000000000002E-3</v>
      </c>
      <c r="O21" s="294">
        <v>8.0000000000000002E-3</v>
      </c>
      <c r="P21" s="295">
        <v>8.0000000000000002E-3</v>
      </c>
      <c r="Q21" s="277">
        <v>43609</v>
      </c>
    </row>
    <row r="22" spans="2:35" ht="15.75" customHeight="1" thickBot="1">
      <c r="B22" s="1031"/>
      <c r="C22" s="142" t="s">
        <v>63</v>
      </c>
      <c r="D22" s="143" t="s">
        <v>69</v>
      </c>
      <c r="E22" s="1034"/>
      <c r="F22" s="178">
        <v>0.5</v>
      </c>
      <c r="G22" s="287">
        <v>0.55500000000000005</v>
      </c>
      <c r="H22" s="288">
        <v>0.51600000000000001</v>
      </c>
      <c r="I22" s="288">
        <v>0.51200000000000001</v>
      </c>
      <c r="J22" s="288">
        <v>0.54500000000000004</v>
      </c>
      <c r="K22" s="289">
        <v>0.55200000000000005</v>
      </c>
      <c r="L22" s="296">
        <v>7.0000000000000001E-3</v>
      </c>
      <c r="M22" s="297">
        <v>7.0000000000000001E-3</v>
      </c>
      <c r="N22" s="297">
        <v>7.0000000000000001E-3</v>
      </c>
      <c r="O22" s="297">
        <v>7.0000000000000001E-3</v>
      </c>
      <c r="P22" s="298">
        <v>7.0000000000000001E-3</v>
      </c>
      <c r="Q22" s="180">
        <v>43609</v>
      </c>
    </row>
    <row r="23" spans="2:35" ht="15.75" customHeight="1" thickBot="1">
      <c r="B23" s="1032"/>
      <c r="C23" s="144" t="s">
        <v>63</v>
      </c>
      <c r="D23" s="145" t="s">
        <v>45</v>
      </c>
      <c r="E23" s="1034"/>
      <c r="F23" s="181">
        <v>0.25</v>
      </c>
      <c r="G23" s="290">
        <v>0.26900000000000002</v>
      </c>
      <c r="H23" s="291">
        <v>0.24299999999999999</v>
      </c>
      <c r="I23" s="291">
        <v>0.252</v>
      </c>
      <c r="J23" s="291">
        <v>0.29499999999999998</v>
      </c>
      <c r="K23" s="292">
        <v>0.30299999999999999</v>
      </c>
      <c r="L23" s="299">
        <v>6.0000000000000001E-3</v>
      </c>
      <c r="M23" s="300">
        <v>6.0000000000000001E-3</v>
      </c>
      <c r="N23" s="300">
        <v>6.0000000000000001E-3</v>
      </c>
      <c r="O23" s="300">
        <v>6.0000000000000001E-3</v>
      </c>
      <c r="P23" s="301">
        <v>6.0000000000000001E-3</v>
      </c>
      <c r="Q23" s="182">
        <v>43609</v>
      </c>
    </row>
    <row r="24" spans="2:35" ht="9" customHeight="1" thickBot="1"/>
    <row r="25" spans="2:35" ht="15.75" customHeight="1" thickBot="1">
      <c r="B25" s="1030" t="s">
        <v>309</v>
      </c>
      <c r="C25" s="278" t="s">
        <v>63</v>
      </c>
      <c r="D25" s="279" t="s">
        <v>68</v>
      </c>
      <c r="E25" s="1034">
        <v>1</v>
      </c>
      <c r="F25" s="276">
        <v>1</v>
      </c>
      <c r="G25" s="280">
        <v>1.0093000000000001</v>
      </c>
      <c r="H25" s="281">
        <v>0.95820000000000005</v>
      </c>
      <c r="I25" s="281">
        <v>1.0021</v>
      </c>
      <c r="J25" s="281">
        <v>1.0980000000000001</v>
      </c>
      <c r="K25" s="282">
        <v>1.0900000000000001</v>
      </c>
      <c r="L25" s="159">
        <v>2.7000000000000001E-3</v>
      </c>
      <c r="M25" s="160">
        <v>2.7000000000000001E-3</v>
      </c>
      <c r="N25" s="160">
        <v>2.7000000000000001E-3</v>
      </c>
      <c r="O25" s="160">
        <v>2.7000000000000001E-3</v>
      </c>
      <c r="P25" s="161">
        <v>2.7000000000000001E-3</v>
      </c>
      <c r="Q25" s="277">
        <v>41759</v>
      </c>
      <c r="S25" s="278" t="s">
        <v>63</v>
      </c>
      <c r="T25" s="279" t="s">
        <v>68</v>
      </c>
      <c r="U25" s="1034">
        <v>1</v>
      </c>
      <c r="V25" s="276">
        <v>10</v>
      </c>
      <c r="W25" s="273">
        <v>9.7899999999999991</v>
      </c>
      <c r="X25" s="274">
        <v>11.01</v>
      </c>
      <c r="Y25" s="274">
        <v>9.9499999999999993</v>
      </c>
      <c r="Z25" s="274">
        <v>7.98</v>
      </c>
      <c r="AA25" s="275">
        <v>8.1300000000000008</v>
      </c>
      <c r="AB25" s="241">
        <v>0.06</v>
      </c>
      <c r="AC25" s="242"/>
      <c r="AD25" s="242"/>
      <c r="AE25" s="242"/>
      <c r="AF25" s="243"/>
      <c r="AG25" s="277">
        <v>44214</v>
      </c>
      <c r="AI25" s="129" t="s">
        <v>180</v>
      </c>
    </row>
    <row r="26" spans="2:35" ht="15.75" thickBot="1">
      <c r="B26" s="1031"/>
      <c r="C26" s="142" t="s">
        <v>63</v>
      </c>
      <c r="D26" s="143" t="s">
        <v>69</v>
      </c>
      <c r="E26" s="1034"/>
      <c r="F26" s="178">
        <v>0.5</v>
      </c>
      <c r="G26" s="147">
        <v>0.55610000000000004</v>
      </c>
      <c r="H26" s="148">
        <v>0.51700000000000002</v>
      </c>
      <c r="I26" s="148">
        <v>0.51380000000000003</v>
      </c>
      <c r="J26" s="148">
        <v>0.54669999999999996</v>
      </c>
      <c r="K26" s="149">
        <v>0.55379999999999996</v>
      </c>
      <c r="L26" s="172">
        <v>2.7000000000000001E-3</v>
      </c>
      <c r="M26" s="173">
        <v>2.7000000000000001E-3</v>
      </c>
      <c r="N26" s="173">
        <v>2.7000000000000001E-3</v>
      </c>
      <c r="O26" s="173">
        <v>2.7000000000000001E-3</v>
      </c>
      <c r="P26" s="174">
        <v>2.7000000000000001E-3</v>
      </c>
      <c r="Q26" s="179">
        <v>41759</v>
      </c>
      <c r="S26" s="142" t="s">
        <v>63</v>
      </c>
      <c r="T26" s="143" t="s">
        <v>69</v>
      </c>
      <c r="U26" s="1034"/>
      <c r="V26" s="178">
        <v>30</v>
      </c>
      <c r="W26" s="232">
        <v>27.79</v>
      </c>
      <c r="X26" s="233">
        <v>30.41</v>
      </c>
      <c r="Y26" s="233">
        <v>30.63</v>
      </c>
      <c r="Z26" s="233">
        <v>28.4</v>
      </c>
      <c r="AA26" s="234">
        <v>27.94</v>
      </c>
      <c r="AB26" s="235">
        <v>0.17</v>
      </c>
      <c r="AC26" s="236"/>
      <c r="AD26" s="236"/>
      <c r="AE26" s="236"/>
      <c r="AF26" s="237"/>
      <c r="AG26" s="180">
        <v>44214</v>
      </c>
      <c r="AI26" s="129" t="s">
        <v>181</v>
      </c>
    </row>
    <row r="27" spans="2:35" ht="15.75" thickBot="1">
      <c r="B27" s="1031"/>
      <c r="C27" s="142" t="s">
        <v>63</v>
      </c>
      <c r="D27" s="143" t="s">
        <v>45</v>
      </c>
      <c r="E27" s="1034"/>
      <c r="F27" s="181">
        <v>0.25</v>
      </c>
      <c r="G27" s="153">
        <v>0.26889999999999997</v>
      </c>
      <c r="H27" s="154">
        <v>0.24279999999999999</v>
      </c>
      <c r="I27" s="154">
        <v>0.25159999999999999</v>
      </c>
      <c r="J27" s="154">
        <v>0.29509999999999997</v>
      </c>
      <c r="K27" s="155">
        <v>0.30299999999999999</v>
      </c>
      <c r="L27" s="162">
        <v>2.7000000000000001E-3</v>
      </c>
      <c r="M27" s="163">
        <v>2.7000000000000001E-3</v>
      </c>
      <c r="N27" s="163">
        <v>2.7000000000000001E-3</v>
      </c>
      <c r="O27" s="163">
        <v>2.7000000000000001E-3</v>
      </c>
      <c r="P27" s="164">
        <v>2.7000000000000001E-3</v>
      </c>
      <c r="Q27" s="182">
        <v>41759</v>
      </c>
      <c r="S27" s="142" t="s">
        <v>63</v>
      </c>
      <c r="T27" s="143" t="s">
        <v>45</v>
      </c>
      <c r="U27" s="1034"/>
      <c r="V27" s="181">
        <v>50</v>
      </c>
      <c r="W27" s="238">
        <v>53.84</v>
      </c>
      <c r="X27" s="239">
        <v>57.18</v>
      </c>
      <c r="Y27" s="239">
        <v>56.03</v>
      </c>
      <c r="Z27" s="239">
        <v>50.68</v>
      </c>
      <c r="AA27" s="240">
        <v>49.77</v>
      </c>
      <c r="AB27" s="283">
        <v>0.21</v>
      </c>
      <c r="AC27" s="245"/>
      <c r="AD27" s="245"/>
      <c r="AE27" s="245"/>
      <c r="AF27" s="246"/>
      <c r="AG27" s="182">
        <v>44214</v>
      </c>
    </row>
    <row r="28" spans="2:35" ht="15.75" thickBot="1">
      <c r="B28" s="1031"/>
      <c r="C28" s="142" t="s">
        <v>63</v>
      </c>
      <c r="D28" s="143" t="s">
        <v>68</v>
      </c>
      <c r="E28" s="1034">
        <v>6.5</v>
      </c>
      <c r="F28" s="183">
        <v>1</v>
      </c>
      <c r="G28" s="169">
        <v>1.0093000000000001</v>
      </c>
      <c r="H28" s="170">
        <v>0.95820000000000005</v>
      </c>
      <c r="I28" s="170">
        <v>1.0021</v>
      </c>
      <c r="J28" s="170">
        <v>1.0980000000000001</v>
      </c>
      <c r="K28" s="171">
        <v>1.0900000000000001</v>
      </c>
      <c r="L28" s="172">
        <v>2.7000000000000001E-3</v>
      </c>
      <c r="M28" s="173">
        <v>2.7000000000000001E-3</v>
      </c>
      <c r="N28" s="173">
        <v>2.7000000000000001E-3</v>
      </c>
      <c r="O28" s="173">
        <v>2.7000000000000001E-3</v>
      </c>
      <c r="P28" s="174">
        <v>2.7000000000000001E-3</v>
      </c>
      <c r="Q28" s="179">
        <v>41759</v>
      </c>
      <c r="S28" s="142" t="s">
        <v>63</v>
      </c>
      <c r="T28" s="143" t="s">
        <v>68</v>
      </c>
      <c r="U28" s="1034">
        <v>6.5</v>
      </c>
      <c r="V28" s="178">
        <v>10</v>
      </c>
      <c r="W28" s="273">
        <v>9.7899999999999991</v>
      </c>
      <c r="X28" s="274">
        <v>11.01</v>
      </c>
      <c r="Y28" s="274">
        <v>9.9499999999999993</v>
      </c>
      <c r="Z28" s="274">
        <v>7.98</v>
      </c>
      <c r="AA28" s="275">
        <v>8.1300000000000008</v>
      </c>
      <c r="AB28" s="241"/>
      <c r="AC28" s="242"/>
      <c r="AD28" s="242"/>
      <c r="AE28" s="242"/>
      <c r="AF28" s="243"/>
      <c r="AG28" s="179">
        <v>44214</v>
      </c>
    </row>
    <row r="29" spans="2:35" ht="15.75" thickBot="1">
      <c r="B29" s="1031"/>
      <c r="C29" s="142" t="s">
        <v>63</v>
      </c>
      <c r="D29" s="143" t="s">
        <v>69</v>
      </c>
      <c r="E29" s="1034"/>
      <c r="F29" s="178">
        <v>0.5</v>
      </c>
      <c r="G29" s="147">
        <v>0.55610000000000004</v>
      </c>
      <c r="H29" s="148">
        <v>0.51700000000000002</v>
      </c>
      <c r="I29" s="148">
        <v>0.51380000000000003</v>
      </c>
      <c r="J29" s="148">
        <v>0.54669999999999996</v>
      </c>
      <c r="K29" s="149">
        <v>0.55379999999999996</v>
      </c>
      <c r="L29" s="172">
        <v>2.7000000000000001E-3</v>
      </c>
      <c r="M29" s="173">
        <v>2.7000000000000001E-3</v>
      </c>
      <c r="N29" s="173">
        <v>2.7000000000000001E-3</v>
      </c>
      <c r="O29" s="173">
        <v>2.7000000000000001E-3</v>
      </c>
      <c r="P29" s="174">
        <v>2.7000000000000001E-3</v>
      </c>
      <c r="Q29" s="179">
        <v>41759</v>
      </c>
      <c r="S29" s="142" t="s">
        <v>63</v>
      </c>
      <c r="T29" s="143" t="s">
        <v>69</v>
      </c>
      <c r="U29" s="1034"/>
      <c r="V29" s="178">
        <v>30</v>
      </c>
      <c r="W29" s="232">
        <v>27.79</v>
      </c>
      <c r="X29" s="233">
        <v>30.41</v>
      </c>
      <c r="Y29" s="233">
        <v>30.63</v>
      </c>
      <c r="Z29" s="233">
        <v>28.4</v>
      </c>
      <c r="AA29" s="234">
        <v>27.94</v>
      </c>
      <c r="AB29" s="235"/>
      <c r="AC29" s="236"/>
      <c r="AD29" s="236"/>
      <c r="AE29" s="236"/>
      <c r="AF29" s="237"/>
      <c r="AG29" s="180">
        <v>44214</v>
      </c>
    </row>
    <row r="30" spans="2:35" ht="15.75" thickBot="1">
      <c r="B30" s="1032"/>
      <c r="C30" s="144" t="s">
        <v>63</v>
      </c>
      <c r="D30" s="145" t="s">
        <v>45</v>
      </c>
      <c r="E30" s="1034"/>
      <c r="F30" s="181">
        <v>0.25</v>
      </c>
      <c r="G30" s="153">
        <v>0.26889999999999997</v>
      </c>
      <c r="H30" s="154">
        <v>0.24279999999999999</v>
      </c>
      <c r="I30" s="154">
        <v>0.25159999999999999</v>
      </c>
      <c r="J30" s="154">
        <v>0.29509999999999997</v>
      </c>
      <c r="K30" s="155">
        <v>0.30299999999999999</v>
      </c>
      <c r="L30" s="162">
        <v>2.7000000000000001E-3</v>
      </c>
      <c r="M30" s="163">
        <v>2.7000000000000001E-3</v>
      </c>
      <c r="N30" s="163">
        <v>2.7000000000000001E-3</v>
      </c>
      <c r="O30" s="163">
        <v>2.7000000000000001E-3</v>
      </c>
      <c r="P30" s="164">
        <v>2.7000000000000001E-3</v>
      </c>
      <c r="Q30" s="182">
        <v>41759</v>
      </c>
      <c r="S30" s="144" t="s">
        <v>63</v>
      </c>
      <c r="T30" s="145" t="s">
        <v>45</v>
      </c>
      <c r="U30" s="1034"/>
      <c r="V30" s="181">
        <v>50</v>
      </c>
      <c r="W30" s="238">
        <v>53.84</v>
      </c>
      <c r="X30" s="239">
        <v>57.18</v>
      </c>
      <c r="Y30" s="239">
        <v>56.03</v>
      </c>
      <c r="Z30" s="239">
        <v>50.68</v>
      </c>
      <c r="AA30" s="240">
        <v>49.77</v>
      </c>
      <c r="AB30" s="244"/>
      <c r="AC30" s="245"/>
      <c r="AD30" s="245"/>
      <c r="AE30" s="245"/>
      <c r="AF30" s="246"/>
      <c r="AG30" s="182">
        <v>44214</v>
      </c>
    </row>
    <row r="31" spans="2:35" ht="15.75" thickBot="1"/>
    <row r="32" spans="2:35" ht="15.75" thickBot="1">
      <c r="B32" s="1027" t="s">
        <v>191</v>
      </c>
      <c r="C32" s="1028"/>
      <c r="D32" s="1028"/>
      <c r="E32" s="1028"/>
      <c r="F32" s="1028"/>
      <c r="G32" s="1028"/>
      <c r="H32" s="1028"/>
      <c r="I32" s="1028"/>
      <c r="J32" s="1028"/>
      <c r="K32" s="1028"/>
      <c r="L32" s="1028"/>
      <c r="M32" s="1028"/>
      <c r="N32" s="1028"/>
      <c r="O32" s="1028"/>
      <c r="P32" s="1028"/>
      <c r="Q32" s="1029"/>
    </row>
    <row r="33" spans="2:17" ht="15.75" thickBot="1">
      <c r="B33" s="1077"/>
      <c r="C33" s="1077"/>
      <c r="D33" s="1077"/>
      <c r="E33" s="1077"/>
      <c r="F33" s="1077"/>
      <c r="G33" s="1082" t="s">
        <v>308</v>
      </c>
      <c r="H33" s="1082"/>
      <c r="I33" s="1082"/>
      <c r="J33" s="1082"/>
      <c r="K33" s="1082"/>
      <c r="L33" s="1082" t="s">
        <v>312</v>
      </c>
      <c r="M33" s="1082"/>
      <c r="N33" s="1082"/>
      <c r="O33" s="1082"/>
      <c r="P33" s="1082"/>
    </row>
    <row r="34" spans="2:17" ht="15.75" customHeight="1" thickBot="1">
      <c r="B34" s="1078" t="s">
        <v>427</v>
      </c>
      <c r="C34" s="1078"/>
      <c r="D34" s="699" t="s">
        <v>428</v>
      </c>
      <c r="E34" s="146" t="s">
        <v>110</v>
      </c>
      <c r="F34" s="146" t="s">
        <v>59</v>
      </c>
      <c r="G34" s="514">
        <v>440</v>
      </c>
      <c r="H34" s="176">
        <v>465</v>
      </c>
      <c r="I34" s="176">
        <v>546.1</v>
      </c>
      <c r="J34" s="176">
        <v>590</v>
      </c>
      <c r="K34" s="177">
        <v>635</v>
      </c>
      <c r="L34" s="176">
        <v>440</v>
      </c>
      <c r="M34" s="176">
        <v>465</v>
      </c>
      <c r="N34" s="176">
        <v>546.1</v>
      </c>
      <c r="O34" s="176">
        <v>590</v>
      </c>
      <c r="P34" s="177">
        <v>635</v>
      </c>
    </row>
    <row r="35" spans="2:17" ht="15.75" customHeight="1" thickBot="1">
      <c r="B35" s="1068" t="s">
        <v>184</v>
      </c>
      <c r="C35" s="1069"/>
      <c r="D35" s="1074" t="s">
        <v>311</v>
      </c>
      <c r="E35" s="1034">
        <v>1</v>
      </c>
      <c r="F35" s="302">
        <v>1</v>
      </c>
      <c r="G35" s="497">
        <f>G21-G25</f>
        <v>-3.00000000000189E-4</v>
      </c>
      <c r="H35" s="498">
        <f t="shared" ref="G35:K37" si="0">H21-H25</f>
        <v>-2.00000000000089E-4</v>
      </c>
      <c r="I35" s="498">
        <f t="shared" si="0"/>
        <v>-1.1000000000001009E-3</v>
      </c>
      <c r="J35" s="498">
        <f t="shared" si="0"/>
        <v>-1.0000000000001119E-3</v>
      </c>
      <c r="K35" s="499">
        <f t="shared" si="0"/>
        <v>-1.0000000000001119E-3</v>
      </c>
      <c r="L35" s="494">
        <f>G35/61</f>
        <v>-4.9180327868883448E-6</v>
      </c>
      <c r="M35" s="495">
        <f t="shared" ref="M35:P37" si="1">H35/61</f>
        <v>-3.2786885245916228E-6</v>
      </c>
      <c r="N35" s="495">
        <f t="shared" si="1"/>
        <v>-1.8032786885247557E-5</v>
      </c>
      <c r="O35" s="495">
        <f t="shared" si="1"/>
        <v>-1.6393442622952654E-5</v>
      </c>
      <c r="P35" s="496">
        <f t="shared" si="1"/>
        <v>-1.6393442622952654E-5</v>
      </c>
      <c r="Q35" s="700" t="s">
        <v>187</v>
      </c>
    </row>
    <row r="36" spans="2:17" ht="15.75" thickBot="1">
      <c r="B36" s="1070"/>
      <c r="C36" s="1071"/>
      <c r="D36" s="1075"/>
      <c r="E36" s="1034"/>
      <c r="F36" s="178">
        <v>0.5</v>
      </c>
      <c r="G36" s="500">
        <f t="shared" si="0"/>
        <v>-1.0999999999999899E-3</v>
      </c>
      <c r="H36" s="501">
        <f t="shared" si="0"/>
        <v>-1.0000000000000009E-3</v>
      </c>
      <c r="I36" s="501">
        <f t="shared" si="0"/>
        <v>-1.8000000000000238E-3</v>
      </c>
      <c r="J36" s="501">
        <f t="shared" si="0"/>
        <v>-1.6999999999999238E-3</v>
      </c>
      <c r="K36" s="502">
        <f t="shared" si="0"/>
        <v>-1.7999999999999128E-3</v>
      </c>
      <c r="L36" s="506">
        <f>G36/61</f>
        <v>-1.8032786885245737E-5</v>
      </c>
      <c r="M36" s="507">
        <f t="shared" si="1"/>
        <v>-1.6393442622950835E-5</v>
      </c>
      <c r="N36" s="507">
        <f t="shared" si="1"/>
        <v>-2.9508196721311864E-5</v>
      </c>
      <c r="O36" s="507">
        <f t="shared" si="1"/>
        <v>-2.7868852459015146E-5</v>
      </c>
      <c r="P36" s="508">
        <f t="shared" si="1"/>
        <v>-2.9508196721310045E-5</v>
      </c>
      <c r="Q36" s="703" t="s">
        <v>431</v>
      </c>
    </row>
    <row r="37" spans="2:17" ht="15.75" thickBot="1">
      <c r="B37" s="1072"/>
      <c r="C37" s="1073"/>
      <c r="D37" s="1075"/>
      <c r="E37" s="1034"/>
      <c r="F37" s="181">
        <v>0.25</v>
      </c>
      <c r="G37" s="503">
        <f t="shared" si="0"/>
        <v>1.000000000000445E-4</v>
      </c>
      <c r="H37" s="504">
        <f t="shared" si="0"/>
        <v>2.0000000000000573E-4</v>
      </c>
      <c r="I37" s="504">
        <f t="shared" si="0"/>
        <v>4.0000000000001146E-4</v>
      </c>
      <c r="J37" s="504">
        <f t="shared" si="0"/>
        <v>-9.9999999999988987E-5</v>
      </c>
      <c r="K37" s="505">
        <f t="shared" si="0"/>
        <v>0</v>
      </c>
      <c r="L37" s="509">
        <f>G37/61</f>
        <v>1.6393442622958114E-6</v>
      </c>
      <c r="M37" s="510">
        <f t="shared" si="1"/>
        <v>3.2786885245902578E-6</v>
      </c>
      <c r="N37" s="510">
        <f t="shared" si="1"/>
        <v>6.5573770491805156E-6</v>
      </c>
      <c r="O37" s="510">
        <f t="shared" si="1"/>
        <v>-1.6393442622949015E-6</v>
      </c>
      <c r="P37" s="511">
        <f t="shared" si="1"/>
        <v>0</v>
      </c>
      <c r="Q37" s="702">
        <v>61</v>
      </c>
    </row>
    <row r="38" spans="2:17" ht="15.75" customHeight="1" thickBot="1">
      <c r="B38" s="1070" t="s">
        <v>185</v>
      </c>
      <c r="C38" s="1071"/>
      <c r="D38" s="1075"/>
      <c r="E38" s="1034">
        <v>1</v>
      </c>
      <c r="F38" s="302">
        <v>1</v>
      </c>
      <c r="G38" s="497">
        <f>G7-G21</f>
        <v>-2.8999999999999027E-3</v>
      </c>
      <c r="H38" s="498">
        <f t="shared" ref="H38:K38" si="2">H7-H21</f>
        <v>-2.2999999999999687E-3</v>
      </c>
      <c r="I38" s="498">
        <f t="shared" si="2"/>
        <v>4.0000000000017799E-4</v>
      </c>
      <c r="J38" s="498">
        <f t="shared" si="2"/>
        <v>8.0000000000013394E-4</v>
      </c>
      <c r="K38" s="499">
        <f t="shared" si="2"/>
        <v>1.0000000000001119E-3</v>
      </c>
      <c r="L38" s="494">
        <f>G38/20</f>
        <v>-1.4499999999999512E-4</v>
      </c>
      <c r="M38" s="495">
        <f t="shared" ref="M38:P40" si="3">H38/20</f>
        <v>-1.1499999999999843E-4</v>
      </c>
      <c r="N38" s="495">
        <f t="shared" si="3"/>
        <v>2.0000000000008899E-5</v>
      </c>
      <c r="O38" s="495">
        <f t="shared" si="3"/>
        <v>4.0000000000006698E-5</v>
      </c>
      <c r="P38" s="496">
        <f t="shared" si="3"/>
        <v>5.0000000000005593E-5</v>
      </c>
      <c r="Q38" s="700" t="s">
        <v>430</v>
      </c>
    </row>
    <row r="39" spans="2:17" ht="15.75" thickBot="1">
      <c r="B39" s="1070"/>
      <c r="C39" s="1071"/>
      <c r="D39" s="1075"/>
      <c r="E39" s="1034"/>
      <c r="F39" s="178">
        <v>0.5</v>
      </c>
      <c r="G39" s="500">
        <f>G8-G22</f>
        <v>-3.0000000000000027E-3</v>
      </c>
      <c r="H39" s="501">
        <f t="shared" ref="H39:K39" si="4">H8-H22</f>
        <v>-2.6000000000000467E-3</v>
      </c>
      <c r="I39" s="501">
        <f t="shared" si="4"/>
        <v>-2.9999999999996696E-4</v>
      </c>
      <c r="J39" s="501">
        <f t="shared" si="4"/>
        <v>0</v>
      </c>
      <c r="K39" s="502">
        <f t="shared" si="4"/>
        <v>2.9999999999996696E-4</v>
      </c>
      <c r="L39" s="506">
        <f t="shared" ref="L39:L40" si="5">G39/20</f>
        <v>-1.5000000000000012E-4</v>
      </c>
      <c r="M39" s="507">
        <f t="shared" si="3"/>
        <v>-1.3000000000000235E-4</v>
      </c>
      <c r="N39" s="507">
        <f t="shared" si="3"/>
        <v>-1.4999999999998349E-5</v>
      </c>
      <c r="O39" s="507">
        <f t="shared" si="3"/>
        <v>0</v>
      </c>
      <c r="P39" s="508">
        <f t="shared" si="3"/>
        <v>1.4999999999998349E-5</v>
      </c>
      <c r="Q39" s="703" t="s">
        <v>431</v>
      </c>
    </row>
    <row r="40" spans="2:17" ht="15.75" thickBot="1">
      <c r="B40" s="1072"/>
      <c r="C40" s="1073"/>
      <c r="D40" s="1075"/>
      <c r="E40" s="1034"/>
      <c r="F40" s="181">
        <v>0.25</v>
      </c>
      <c r="G40" s="503">
        <f>G9-G23</f>
        <v>-2.7000000000000357E-3</v>
      </c>
      <c r="H40" s="504">
        <f t="shared" ref="H40:K40" si="6">H9-H23</f>
        <v>-2.6999999999999802E-3</v>
      </c>
      <c r="I40" s="504">
        <f t="shared" si="6"/>
        <v>-2.0999999999999908E-3</v>
      </c>
      <c r="J40" s="504">
        <f t="shared" si="6"/>
        <v>-1.1999999999999789E-3</v>
      </c>
      <c r="K40" s="505">
        <f t="shared" si="6"/>
        <v>-1.4000000000000123E-3</v>
      </c>
      <c r="L40" s="509">
        <f t="shared" si="5"/>
        <v>-1.3500000000000179E-4</v>
      </c>
      <c r="M40" s="510">
        <f t="shared" si="3"/>
        <v>-1.34999999999999E-4</v>
      </c>
      <c r="N40" s="510">
        <f t="shared" si="3"/>
        <v>-1.0499999999999954E-4</v>
      </c>
      <c r="O40" s="510">
        <f t="shared" si="3"/>
        <v>-5.9999999999998944E-5</v>
      </c>
      <c r="P40" s="511">
        <f t="shared" si="3"/>
        <v>-7.0000000000000617E-5</v>
      </c>
      <c r="Q40" s="702">
        <v>26</v>
      </c>
    </row>
    <row r="41" spans="2:17" ht="15.75" customHeight="1" thickBot="1">
      <c r="B41" s="1068" t="s">
        <v>186</v>
      </c>
      <c r="C41" s="1069"/>
      <c r="D41" s="1075"/>
      <c r="E41" s="1034">
        <v>1</v>
      </c>
      <c r="F41" s="302">
        <v>1</v>
      </c>
      <c r="G41" s="497">
        <f>G7-G25</f>
        <v>-3.2000000000000917E-3</v>
      </c>
      <c r="H41" s="498">
        <f t="shared" ref="H41:K41" si="7">H7-H25</f>
        <v>-2.5000000000000577E-3</v>
      </c>
      <c r="I41" s="498">
        <f t="shared" si="7"/>
        <v>-6.9999999999992291E-4</v>
      </c>
      <c r="J41" s="498">
        <f t="shared" si="7"/>
        <v>-1.9999999999997797E-4</v>
      </c>
      <c r="K41" s="499">
        <f t="shared" si="7"/>
        <v>0</v>
      </c>
      <c r="L41" s="494">
        <f>G41/$Q$43</f>
        <v>-3.6363636363637408E-5</v>
      </c>
      <c r="M41" s="495">
        <f t="shared" ref="M41:P41" si="8">H41/$Q$43</f>
        <v>-2.8409090909091566E-5</v>
      </c>
      <c r="N41" s="495">
        <f t="shared" si="8"/>
        <v>-7.9545454545445792E-6</v>
      </c>
      <c r="O41" s="495">
        <f t="shared" si="8"/>
        <v>-2.2727272727270225E-6</v>
      </c>
      <c r="P41" s="496">
        <f t="shared" si="8"/>
        <v>0</v>
      </c>
      <c r="Q41" s="701" t="s">
        <v>429</v>
      </c>
    </row>
    <row r="42" spans="2:17" ht="15.75" thickBot="1">
      <c r="B42" s="1070"/>
      <c r="C42" s="1071"/>
      <c r="D42" s="1075"/>
      <c r="E42" s="1034"/>
      <c r="F42" s="178">
        <v>0.5</v>
      </c>
      <c r="G42" s="500">
        <f>G8-G26</f>
        <v>-4.0999999999999925E-3</v>
      </c>
      <c r="H42" s="501">
        <f t="shared" ref="H42:K42" si="9">H8-H26</f>
        <v>-3.6000000000000476E-3</v>
      </c>
      <c r="I42" s="501">
        <f t="shared" si="9"/>
        <v>-2.0999999999999908E-3</v>
      </c>
      <c r="J42" s="501">
        <f t="shared" si="9"/>
        <v>-1.6999999999999238E-3</v>
      </c>
      <c r="K42" s="502">
        <f t="shared" si="9"/>
        <v>-1.4999999999999458E-3</v>
      </c>
      <c r="L42" s="506">
        <f>G42/$Q$43</f>
        <v>-4.6590909090909003E-5</v>
      </c>
      <c r="M42" s="507">
        <f t="shared" ref="M42:P43" si="10">H42/$Q$43</f>
        <v>-4.090909090909145E-5</v>
      </c>
      <c r="N42" s="507">
        <f t="shared" si="10"/>
        <v>-2.386363636363626E-5</v>
      </c>
      <c r="O42" s="507">
        <f t="shared" si="10"/>
        <v>-1.9318181818180951E-5</v>
      </c>
      <c r="P42" s="508">
        <f t="shared" si="10"/>
        <v>-1.7045454545453929E-5</v>
      </c>
      <c r="Q42" s="703" t="s">
        <v>431</v>
      </c>
    </row>
    <row r="43" spans="2:17" ht="15.75" thickBot="1">
      <c r="B43" s="1072"/>
      <c r="C43" s="1073"/>
      <c r="D43" s="1076"/>
      <c r="E43" s="1034"/>
      <c r="F43" s="181">
        <v>0.25</v>
      </c>
      <c r="G43" s="503">
        <f>G9-G27</f>
        <v>-2.5999999999999912E-3</v>
      </c>
      <c r="H43" s="504">
        <f t="shared" ref="H43:K43" si="11">H9-H27</f>
        <v>-2.4999999999999745E-3</v>
      </c>
      <c r="I43" s="504">
        <f t="shared" si="11"/>
        <v>-1.6999999999999793E-3</v>
      </c>
      <c r="J43" s="504">
        <f t="shared" si="11"/>
        <v>-1.2999999999999678E-3</v>
      </c>
      <c r="K43" s="505">
        <f t="shared" si="11"/>
        <v>-1.4000000000000123E-3</v>
      </c>
      <c r="L43" s="509">
        <f>G43/$Q$43</f>
        <v>-2.9545454545454447E-5</v>
      </c>
      <c r="M43" s="510">
        <f t="shared" si="10"/>
        <v>-2.8409090909090618E-5</v>
      </c>
      <c r="N43" s="510">
        <f t="shared" si="10"/>
        <v>-1.9318181818181584E-5</v>
      </c>
      <c r="O43" s="510">
        <f t="shared" si="10"/>
        <v>-1.4772727272726907E-5</v>
      </c>
      <c r="P43" s="511">
        <f t="shared" si="10"/>
        <v>-1.5909090909091049E-5</v>
      </c>
      <c r="Q43" s="702">
        <v>88</v>
      </c>
    </row>
    <row r="64" ht="15" customHeight="1"/>
    <row r="66" ht="15" customHeight="1"/>
    <row r="73" ht="4.5" customHeight="1"/>
    <row r="74" ht="15" customHeight="1"/>
    <row r="75" ht="15" customHeight="1"/>
    <row r="170" spans="2:17">
      <c r="D170" s="303"/>
      <c r="E170" s="303"/>
      <c r="F170" s="303"/>
      <c r="G170" s="303"/>
      <c r="H170" s="303"/>
      <c r="I170" s="303"/>
      <c r="J170" s="303"/>
      <c r="K170" s="303"/>
      <c r="L170" s="303"/>
      <c r="M170" s="303"/>
      <c r="N170" s="303"/>
      <c r="O170" s="303"/>
      <c r="P170" s="303"/>
    </row>
    <row r="171" spans="2:17" ht="15" customHeight="1">
      <c r="B171" s="304" t="s">
        <v>193</v>
      </c>
    </row>
    <row r="172" spans="2:17">
      <c r="B172" s="1066" t="s">
        <v>192</v>
      </c>
      <c r="C172" s="1066"/>
      <c r="D172" s="1066"/>
      <c r="E172" s="1066"/>
      <c r="F172" s="1066"/>
      <c r="G172" s="1066"/>
      <c r="H172" s="1066"/>
      <c r="I172" s="1066"/>
      <c r="J172" s="1066"/>
      <c r="K172" s="1066"/>
      <c r="L172" s="1066"/>
      <c r="M172" s="1066"/>
      <c r="N172" s="1066"/>
      <c r="O172" s="1066"/>
      <c r="P172" s="1066"/>
      <c r="Q172" s="1066"/>
    </row>
    <row r="173" spans="2:17">
      <c r="B173" s="1066"/>
      <c r="C173" s="1066"/>
      <c r="D173" s="1066"/>
      <c r="E173" s="1066"/>
      <c r="F173" s="1066"/>
      <c r="G173" s="1066"/>
      <c r="H173" s="1066"/>
      <c r="I173" s="1066"/>
      <c r="J173" s="1066"/>
      <c r="K173" s="1066"/>
      <c r="L173" s="1066"/>
      <c r="M173" s="1066"/>
      <c r="N173" s="1066"/>
      <c r="O173" s="1066"/>
      <c r="P173" s="1066"/>
      <c r="Q173" s="1066"/>
    </row>
    <row r="174" spans="2:17">
      <c r="B174" s="1066"/>
      <c r="C174" s="1066"/>
      <c r="D174" s="1066"/>
      <c r="E174" s="1066"/>
      <c r="F174" s="1066"/>
      <c r="G174" s="1066"/>
      <c r="H174" s="1066"/>
      <c r="I174" s="1066"/>
      <c r="J174" s="1066"/>
      <c r="K174" s="1066"/>
      <c r="L174" s="1066"/>
      <c r="M174" s="1066"/>
      <c r="N174" s="1066"/>
      <c r="O174" s="1066"/>
      <c r="P174" s="1066"/>
      <c r="Q174" s="1066"/>
    </row>
    <row r="175" spans="2:17">
      <c r="B175" s="1066"/>
      <c r="C175" s="1066"/>
      <c r="D175" s="1066"/>
      <c r="E175" s="1066"/>
      <c r="F175" s="1066"/>
      <c r="G175" s="1066"/>
      <c r="H175" s="1066"/>
      <c r="I175" s="1066"/>
      <c r="J175" s="1066"/>
      <c r="K175" s="1066"/>
      <c r="L175" s="1066"/>
      <c r="M175" s="1066"/>
      <c r="N175" s="1066"/>
      <c r="O175" s="1066"/>
      <c r="P175" s="1066"/>
      <c r="Q175" s="1066"/>
    </row>
    <row r="176" spans="2:17">
      <c r="B176" s="1066"/>
      <c r="C176" s="1066"/>
      <c r="D176" s="1066"/>
      <c r="E176" s="1066"/>
      <c r="F176" s="1066"/>
      <c r="G176" s="1066"/>
      <c r="H176" s="1066"/>
      <c r="I176" s="1066"/>
      <c r="J176" s="1066"/>
      <c r="K176" s="1066"/>
      <c r="L176" s="1066"/>
      <c r="M176" s="1066"/>
      <c r="N176" s="1066"/>
      <c r="O176" s="1066"/>
      <c r="P176" s="1066"/>
      <c r="Q176" s="1066"/>
    </row>
    <row r="177" spans="2:17">
      <c r="B177" s="1066"/>
      <c r="C177" s="1066"/>
      <c r="D177" s="1066"/>
      <c r="E177" s="1066"/>
      <c r="F177" s="1066"/>
      <c r="G177" s="1066"/>
      <c r="H177" s="1066"/>
      <c r="I177" s="1066"/>
      <c r="J177" s="1066"/>
      <c r="K177" s="1066"/>
      <c r="L177" s="1066"/>
      <c r="M177" s="1066"/>
      <c r="N177" s="1066"/>
      <c r="O177" s="1066"/>
      <c r="P177" s="1066"/>
      <c r="Q177" s="1066"/>
    </row>
    <row r="179" spans="2:17">
      <c r="B179" s="1067" t="s">
        <v>190</v>
      </c>
      <c r="C179" s="1067"/>
      <c r="D179" s="1067"/>
      <c r="E179" s="1067"/>
      <c r="F179" s="1067"/>
      <c r="G179" s="1067"/>
      <c r="H179" s="1067"/>
      <c r="I179" s="1067"/>
      <c r="J179" s="1067"/>
      <c r="K179" s="1067"/>
      <c r="L179" s="1067"/>
      <c r="M179" s="1067"/>
      <c r="N179" s="1067"/>
      <c r="O179" s="1067"/>
      <c r="P179" s="1067"/>
      <c r="Q179" s="1067"/>
    </row>
    <row r="180" spans="2:17">
      <c r="B180" s="1067"/>
      <c r="C180" s="1067"/>
      <c r="D180" s="1067"/>
      <c r="E180" s="1067"/>
      <c r="F180" s="1067"/>
      <c r="G180" s="1067"/>
      <c r="H180" s="1067"/>
      <c r="I180" s="1067"/>
      <c r="J180" s="1067"/>
      <c r="K180" s="1067"/>
      <c r="L180" s="1067"/>
      <c r="M180" s="1067"/>
      <c r="N180" s="1067"/>
      <c r="O180" s="1067"/>
      <c r="P180" s="1067"/>
      <c r="Q180" s="1067"/>
    </row>
    <row r="183" spans="2:17">
      <c r="B183" s="129" t="s">
        <v>194</v>
      </c>
    </row>
  </sheetData>
  <mergeCells count="46">
    <mergeCell ref="B7:B12"/>
    <mergeCell ref="E7:E9"/>
    <mergeCell ref="B1:R1"/>
    <mergeCell ref="B2:R2"/>
    <mergeCell ref="C5:C6"/>
    <mergeCell ref="D5:D6"/>
    <mergeCell ref="B4:Q4"/>
    <mergeCell ref="B5:B6"/>
    <mergeCell ref="Q5:Q6"/>
    <mergeCell ref="G5:K5"/>
    <mergeCell ref="L5:P5"/>
    <mergeCell ref="E10:E12"/>
    <mergeCell ref="B14:B19"/>
    <mergeCell ref="E14:E16"/>
    <mergeCell ref="E17:E19"/>
    <mergeCell ref="G33:K33"/>
    <mergeCell ref="L33:P33"/>
    <mergeCell ref="B38:C40"/>
    <mergeCell ref="B21:B23"/>
    <mergeCell ref="E35:E37"/>
    <mergeCell ref="E38:E40"/>
    <mergeCell ref="B33:F33"/>
    <mergeCell ref="B34:C34"/>
    <mergeCell ref="B32:Q32"/>
    <mergeCell ref="S4:AG4"/>
    <mergeCell ref="S5:S6"/>
    <mergeCell ref="T5:T6"/>
    <mergeCell ref="W5:AA5"/>
    <mergeCell ref="AB5:AF5"/>
    <mergeCell ref="AG5:AG6"/>
    <mergeCell ref="U7:U9"/>
    <mergeCell ref="U10:U12"/>
    <mergeCell ref="B172:Q177"/>
    <mergeCell ref="B179:Q180"/>
    <mergeCell ref="E25:E27"/>
    <mergeCell ref="E28:E30"/>
    <mergeCell ref="B25:B30"/>
    <mergeCell ref="B41:C43"/>
    <mergeCell ref="E41:E43"/>
    <mergeCell ref="U14:U16"/>
    <mergeCell ref="U17:U19"/>
    <mergeCell ref="E21:E23"/>
    <mergeCell ref="B35:C37"/>
    <mergeCell ref="U25:U27"/>
    <mergeCell ref="U28:U30"/>
    <mergeCell ref="D35:D43"/>
  </mergeCells>
  <phoneticPr fontId="15" type="noConversion"/>
  <conditionalFormatting sqref="B4">
    <cfRule type="expression" dxfId="34" priority="46">
      <formula>$AP4=1</formula>
    </cfRule>
  </conditionalFormatting>
  <conditionalFormatting sqref="K15:K19 G14:K14">
    <cfRule type="expression" dxfId="33" priority="45">
      <formula>#REF!=1</formula>
    </cfRule>
  </conditionalFormatting>
  <conditionalFormatting sqref="G15:J15">
    <cfRule type="expression" dxfId="32" priority="44">
      <formula>#REF!=1</formula>
    </cfRule>
  </conditionalFormatting>
  <conditionalFormatting sqref="L14:P17">
    <cfRule type="expression" dxfId="31" priority="47">
      <formula>#REF!=1</formula>
    </cfRule>
  </conditionalFormatting>
  <conditionalFormatting sqref="S4">
    <cfRule type="expression" dxfId="30" priority="38">
      <formula>$AP32=1</formula>
    </cfRule>
  </conditionalFormatting>
  <conditionalFormatting sqref="AB14:AF17">
    <cfRule type="expression" dxfId="29" priority="39">
      <formula>#REF!=1</formula>
    </cfRule>
  </conditionalFormatting>
  <conditionalFormatting sqref="K26:K27 G25:K25">
    <cfRule type="expression" dxfId="28" priority="34">
      <formula>$AP25=1</formula>
    </cfRule>
  </conditionalFormatting>
  <conditionalFormatting sqref="G26:J26">
    <cfRule type="expression" dxfId="27" priority="33">
      <formula>$AP26=1</formula>
    </cfRule>
  </conditionalFormatting>
  <conditionalFormatting sqref="L25:P27">
    <cfRule type="expression" dxfId="26" priority="35">
      <formula>#REF!=1</formula>
    </cfRule>
  </conditionalFormatting>
  <conditionalFormatting sqref="K29:K30 G28:K28">
    <cfRule type="expression" dxfId="25" priority="32">
      <formula>$AP28=1</formula>
    </cfRule>
  </conditionalFormatting>
  <conditionalFormatting sqref="G29:J29">
    <cfRule type="expression" dxfId="24" priority="31">
      <formula>$AP29=1</formula>
    </cfRule>
  </conditionalFormatting>
  <conditionalFormatting sqref="L28:P30">
    <cfRule type="expression" dxfId="23" priority="30">
      <formula>#REF!=1</formula>
    </cfRule>
  </conditionalFormatting>
  <conditionalFormatting sqref="AA27">
    <cfRule type="expression" dxfId="22" priority="28">
      <formula>$AP44=1</formula>
    </cfRule>
  </conditionalFormatting>
  <conditionalFormatting sqref="AB25:AF28">
    <cfRule type="expression" dxfId="21" priority="29">
      <formula>#REF!=1</formula>
    </cfRule>
  </conditionalFormatting>
  <conditionalFormatting sqref="AA29:AA30 W28:AA28">
    <cfRule type="expression" dxfId="20" priority="26">
      <formula>$AP45=1</formula>
    </cfRule>
  </conditionalFormatting>
  <conditionalFormatting sqref="W29:Z29">
    <cfRule type="expression" dxfId="19" priority="25">
      <formula>$AP46=1</formula>
    </cfRule>
  </conditionalFormatting>
  <conditionalFormatting sqref="K22:K23 G21:K21">
    <cfRule type="expression" dxfId="18" priority="23">
      <formula>$AP21=1</formula>
    </cfRule>
  </conditionalFormatting>
  <conditionalFormatting sqref="G22:J22">
    <cfRule type="expression" dxfId="17" priority="22">
      <formula>$AP22=1</formula>
    </cfRule>
  </conditionalFormatting>
  <conditionalFormatting sqref="L21:P23">
    <cfRule type="expression" dxfId="16" priority="24">
      <formula>#REF!=1</formula>
    </cfRule>
  </conditionalFormatting>
  <conditionalFormatting sqref="G35:K35">
    <cfRule type="expression" dxfId="15" priority="20">
      <formula>$AP34=1</formula>
    </cfRule>
  </conditionalFormatting>
  <conditionalFormatting sqref="L35:P37">
    <cfRule type="expression" dxfId="14" priority="21">
      <formula>#REF!=1</formula>
    </cfRule>
  </conditionalFormatting>
  <conditionalFormatting sqref="G38:K40">
    <cfRule type="expression" dxfId="13" priority="18">
      <formula>#REF!=1</formula>
    </cfRule>
  </conditionalFormatting>
  <conditionalFormatting sqref="G41:K43">
    <cfRule type="expression" dxfId="12" priority="14">
      <formula>#REF!=1</formula>
    </cfRule>
  </conditionalFormatting>
  <conditionalFormatting sqref="B32">
    <cfRule type="expression" dxfId="11" priority="9">
      <formula>$AP33=1</formula>
    </cfRule>
  </conditionalFormatting>
  <conditionalFormatting sqref="L38:P40">
    <cfRule type="expression" dxfId="10" priority="8">
      <formula>#REF!=1</formula>
    </cfRule>
  </conditionalFormatting>
  <conditionalFormatting sqref="L41:P43">
    <cfRule type="expression" dxfId="9" priority="7">
      <formula>#REF!=1</formula>
    </cfRule>
  </conditionalFormatting>
  <conditionalFormatting sqref="AA15:AA19 W14:AA14 W15:Z15">
    <cfRule type="expression" dxfId="8" priority="48">
      <formula>#REF!=1</formula>
    </cfRule>
  </conditionalFormatting>
  <conditionalFormatting sqref="W25:AA26">
    <cfRule type="expression" dxfId="7" priority="52">
      <formula>#REF!=1</formula>
    </cfRule>
  </conditionalFormatting>
  <conditionalFormatting sqref="G36:K37">
    <cfRule type="expression" dxfId="6" priority="54">
      <formula>$H35=1</formula>
    </cfRule>
  </conditionalFormatting>
  <conditionalFormatting sqref="K8:K12 G7:K7">
    <cfRule type="expression" dxfId="5" priority="5">
      <formula>$AP14=1</formula>
    </cfRule>
  </conditionalFormatting>
  <conditionalFormatting sqref="G8:J8">
    <cfRule type="expression" dxfId="4" priority="4">
      <formula>$AP15=1</formula>
    </cfRule>
  </conditionalFormatting>
  <conditionalFormatting sqref="L7:P10">
    <cfRule type="expression" dxfId="3" priority="6">
      <formula>#REF!=1</formula>
    </cfRule>
  </conditionalFormatting>
  <conditionalFormatting sqref="AB7:AF10">
    <cfRule type="expression" dxfId="2" priority="2">
      <formula>#REF!=1</formula>
    </cfRule>
  </conditionalFormatting>
  <conditionalFormatting sqref="AA8:AA12 W7:AA7 W8:Z8">
    <cfRule type="expression" dxfId="1" priority="3">
      <formula>#REF!=1</formula>
    </cfRule>
  </conditionalFormatting>
  <conditionalFormatting sqref="L11:P11">
    <cfRule type="expression" dxfId="0" priority="1">
      <formula>#REF!=1</formula>
    </cfRule>
  </conditionalFormatting>
  <pageMargins left="0.511811024" right="0.511811024" top="0.78740157499999996" bottom="0.78740157499999996" header="0.31496062000000002" footer="0.31496062000000002"/>
  <pageSetup paperSize="9" orientation="portrait" horizontalDpi="0" verticalDpi="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1614B-F2A9-49E4-A2F0-3EBF5D901B3A}">
  <dimension ref="B1:BC25"/>
  <sheetViews>
    <sheetView topLeftCell="I1" zoomScaleNormal="100" workbookViewId="0">
      <selection activeCell="Q13" sqref="Q13"/>
    </sheetView>
  </sheetViews>
  <sheetFormatPr defaultRowHeight="15"/>
  <cols>
    <col min="1" max="1" width="2.85546875" customWidth="1"/>
    <col min="8" max="8" width="9.5703125" bestFit="1" customWidth="1"/>
    <col min="9" max="9" width="10.42578125" bestFit="1" customWidth="1"/>
    <col min="13" max="13" width="10.42578125" bestFit="1" customWidth="1"/>
    <col min="15" max="15" width="10.42578125" bestFit="1" customWidth="1"/>
    <col min="26" max="27" width="9.5703125" customWidth="1"/>
    <col min="28" max="28" width="10.5703125" customWidth="1"/>
    <col min="29" max="47" width="9.5703125" customWidth="1"/>
    <col min="55" max="55" width="28.5703125" customWidth="1"/>
  </cols>
  <sheetData>
    <row r="1" spans="2:55" ht="23.25" customHeight="1">
      <c r="B1" s="1004" t="s">
        <v>115</v>
      </c>
      <c r="C1" s="1004"/>
      <c r="D1" s="1004"/>
      <c r="E1" s="1004"/>
      <c r="F1" s="1004"/>
      <c r="G1" s="1004"/>
      <c r="H1" s="1004"/>
      <c r="I1" s="1004"/>
      <c r="J1" s="1004"/>
      <c r="K1" s="1004"/>
      <c r="L1" s="1004"/>
      <c r="M1" s="1004"/>
      <c r="N1" s="1004"/>
      <c r="O1" s="1004"/>
      <c r="P1" s="1004"/>
      <c r="Q1" s="1004"/>
      <c r="R1" s="1004"/>
      <c r="S1" s="1004"/>
      <c r="T1" s="1004"/>
      <c r="U1" s="1004"/>
      <c r="V1" s="1004"/>
      <c r="W1" s="1004"/>
      <c r="X1" s="1004"/>
      <c r="Y1" s="1004"/>
      <c r="Z1" s="1004"/>
    </row>
    <row r="2" spans="2:55" ht="23.25" customHeight="1">
      <c r="B2" s="1005" t="s">
        <v>451</v>
      </c>
      <c r="C2" s="1005"/>
      <c r="D2" s="1005"/>
      <c r="E2" s="1005"/>
      <c r="F2" s="1005"/>
      <c r="G2" s="1005"/>
      <c r="H2" s="1005"/>
      <c r="I2" s="1005"/>
      <c r="J2" s="1005"/>
      <c r="K2" s="1005"/>
      <c r="L2" s="1005"/>
      <c r="M2" s="1005"/>
      <c r="N2" s="1005"/>
      <c r="O2" s="1005"/>
      <c r="P2" s="1005"/>
      <c r="Q2" s="1005"/>
      <c r="R2" s="1005"/>
      <c r="S2" s="1005"/>
      <c r="T2" s="1005"/>
      <c r="U2" s="1005"/>
      <c r="V2" s="1005"/>
      <c r="W2" s="1005"/>
      <c r="X2" s="1005"/>
      <c r="Y2" s="1005"/>
      <c r="Z2" s="1005"/>
    </row>
    <row r="3" spans="2:55" ht="4.5" customHeight="1" thickBot="1"/>
    <row r="4" spans="2:55" ht="19.5" thickBot="1">
      <c r="B4" s="1006" t="s">
        <v>449</v>
      </c>
      <c r="C4" s="1007"/>
      <c r="D4" s="1007"/>
      <c r="E4" s="1007"/>
      <c r="F4" s="1007"/>
      <c r="G4" s="1007"/>
      <c r="H4" s="1007"/>
      <c r="I4" s="1007"/>
      <c r="J4" s="1007"/>
      <c r="K4" s="1007"/>
      <c r="L4" s="1007"/>
      <c r="M4" s="1007"/>
      <c r="N4" s="1007"/>
      <c r="O4" s="1007"/>
      <c r="P4" s="1007"/>
      <c r="Q4" s="1007"/>
      <c r="R4" s="1007"/>
      <c r="S4" s="1007"/>
      <c r="T4" s="1007"/>
      <c r="U4" s="1007"/>
      <c r="V4" s="1007"/>
      <c r="W4" s="1007"/>
      <c r="X4" s="1007"/>
      <c r="Y4" s="1007"/>
      <c r="Z4" s="1007"/>
      <c r="AA4" s="1007"/>
      <c r="AB4" s="1007"/>
      <c r="AC4" s="1007"/>
      <c r="AD4" s="1007"/>
      <c r="AE4" s="1007"/>
      <c r="AF4" s="1007"/>
      <c r="AG4" s="1007"/>
      <c r="AH4" s="1007"/>
      <c r="AI4" s="1007"/>
      <c r="AJ4" s="1007"/>
      <c r="AK4" s="1007"/>
      <c r="AL4" s="1007"/>
      <c r="AM4" s="1007"/>
      <c r="AN4" s="1007"/>
      <c r="AO4" s="1007"/>
      <c r="AP4" s="1007"/>
      <c r="AQ4" s="1007"/>
      <c r="AR4" s="1007"/>
      <c r="AS4" s="1007"/>
      <c r="AT4" s="1007"/>
      <c r="AU4" s="1008"/>
    </row>
    <row r="5" spans="2:55" ht="6.75" customHeight="1" thickBot="1"/>
    <row r="6" spans="2:55" ht="15.75" thickBot="1">
      <c r="B6" s="729" t="s">
        <v>149</v>
      </c>
      <c r="C6" s="1009" t="s">
        <v>272</v>
      </c>
      <c r="D6" s="1009"/>
      <c r="E6" s="1009"/>
      <c r="F6" s="728" t="s">
        <v>62</v>
      </c>
      <c r="G6" s="727" t="s">
        <v>63</v>
      </c>
      <c r="H6" s="728" t="s">
        <v>116</v>
      </c>
      <c r="I6" s="727" t="s">
        <v>46</v>
      </c>
      <c r="J6" s="487"/>
      <c r="K6" s="1011" t="s">
        <v>164</v>
      </c>
      <c r="L6" s="1011"/>
      <c r="M6" s="491">
        <v>1</v>
      </c>
      <c r="N6" s="1010" t="str">
        <f xml:space="preserve"> CONCATENATE("Valores do padrão para largura de banda ", "( ", M6, " nm)")</f>
        <v>Valores do padrão para largura de banda ( 1 nm)</v>
      </c>
      <c r="O6" s="1010"/>
      <c r="P6" s="1010"/>
      <c r="Q6" s="1010"/>
      <c r="R6" s="488">
        <f>VLOOKUP($M$6,'Cadastro - Padrões Lambda'!$E$59:$P464,2,FALSE)</f>
        <v>241.58</v>
      </c>
      <c r="S6" s="488">
        <f>VLOOKUP($M$6,'Cadastro - Padrões Lambda'!$E$59:$P464,3,FALSE)</f>
        <v>279.38</v>
      </c>
      <c r="T6" s="488">
        <f>VLOOKUP($M$6,'Cadastro - Padrões Lambda'!$E$59:$P464,4,FALSE)</f>
        <v>287.58</v>
      </c>
      <c r="U6" s="488">
        <f>VLOOKUP($M$6,'Cadastro - Padrões Lambda'!$E$59:$P464,5,FALSE)</f>
        <v>333.84</v>
      </c>
      <c r="V6" s="488">
        <f>VLOOKUP($M$6,'Cadastro - Padrões Lambda'!$E$59:$P464,6,FALSE)</f>
        <v>360.84</v>
      </c>
      <c r="W6" s="488">
        <f>VLOOKUP($M$6,'Cadastro - Padrões Lambda'!$E$59:$P464,7,FALSE)</f>
        <v>0</v>
      </c>
      <c r="X6" s="488">
        <f>VLOOKUP($M$6,'Cadastro - Padrões Lambda'!$E$59:$P464,8,FALSE)</f>
        <v>418.68</v>
      </c>
      <c r="Y6" s="488">
        <f>VLOOKUP($M$6,'Cadastro - Padrões Lambda'!$E$59:$P464,9,FALSE)</f>
        <v>445.68</v>
      </c>
      <c r="Z6" s="488">
        <f>VLOOKUP($M$6,'Cadastro - Padrões Lambda'!$E$59:$P464,10,FALSE)</f>
        <v>453.64</v>
      </c>
      <c r="AA6" s="488">
        <f>VLOOKUP($M$6,'Cadastro - Padrões Lambda'!$E$59:$P464,11,FALSE)</f>
        <v>460.18</v>
      </c>
      <c r="AB6" s="488">
        <f>VLOOKUP($M$6,'Cadastro - Padrões Lambda'!$E$59:$P464,12,FALSE)</f>
        <v>536.6</v>
      </c>
      <c r="AC6" s="487"/>
      <c r="AD6" s="487"/>
      <c r="AE6" s="487"/>
      <c r="AF6" s="271"/>
      <c r="AG6" s="271"/>
      <c r="AH6" s="271"/>
      <c r="AI6" s="271"/>
      <c r="AJ6" s="271"/>
      <c r="AK6" s="1010"/>
      <c r="AL6" s="1010"/>
      <c r="AM6" s="487"/>
      <c r="AN6" s="487"/>
      <c r="AO6" s="487"/>
      <c r="AP6" s="255"/>
      <c r="AQ6" s="255"/>
      <c r="AR6" s="255"/>
      <c r="AS6" s="255"/>
      <c r="AT6" s="255"/>
      <c r="AU6" s="723"/>
    </row>
    <row r="7" spans="2:55" ht="4.5" customHeight="1" thickBot="1">
      <c r="B7" s="489"/>
      <c r="C7" s="489"/>
      <c r="D7" s="490"/>
      <c r="E7" s="490"/>
      <c r="F7" s="489"/>
      <c r="G7" s="490"/>
      <c r="H7" s="489"/>
      <c r="I7" s="490"/>
      <c r="J7" s="490"/>
      <c r="K7" s="490"/>
      <c r="L7" s="490"/>
      <c r="M7" s="490"/>
      <c r="N7" s="490"/>
      <c r="O7" s="490"/>
      <c r="P7" s="490"/>
      <c r="Q7" s="490"/>
      <c r="R7" s="489"/>
      <c r="S7" s="489"/>
      <c r="T7" s="489"/>
      <c r="U7" s="486"/>
      <c r="V7" s="486"/>
      <c r="W7" s="486"/>
      <c r="X7" s="189"/>
      <c r="Y7" s="189"/>
    </row>
    <row r="8" spans="2:55" ht="15.75" customHeight="1" thickBot="1">
      <c r="B8" s="989" t="s">
        <v>285</v>
      </c>
      <c r="C8" s="990"/>
      <c r="D8" s="990"/>
      <c r="E8" s="990"/>
      <c r="F8" s="990"/>
      <c r="G8" s="990"/>
      <c r="H8" s="990"/>
      <c r="I8" s="990"/>
      <c r="J8" s="990"/>
      <c r="K8" s="990"/>
      <c r="L8" s="990"/>
      <c r="M8" s="990"/>
      <c r="N8" s="990"/>
      <c r="O8" s="990"/>
      <c r="P8" s="990"/>
      <c r="Q8" s="990"/>
      <c r="R8" s="990"/>
      <c r="S8" s="990"/>
      <c r="T8" s="990"/>
      <c r="U8" s="990"/>
      <c r="V8" s="990"/>
      <c r="W8" s="990"/>
      <c r="X8" s="990"/>
      <c r="Y8" s="990"/>
      <c r="Z8" s="990"/>
      <c r="AA8" s="990"/>
      <c r="AB8" s="990"/>
      <c r="AC8" s="990"/>
      <c r="AD8" s="990"/>
      <c r="AE8" s="990"/>
      <c r="AF8" s="990"/>
      <c r="AG8" s="990"/>
      <c r="AH8" s="990"/>
      <c r="AI8" s="990"/>
      <c r="AJ8" s="990"/>
      <c r="AK8" s="990"/>
      <c r="AL8" s="990"/>
      <c r="AM8" s="990"/>
      <c r="AN8" s="990"/>
      <c r="AO8" s="990"/>
      <c r="AP8" s="990"/>
      <c r="AQ8" s="990"/>
      <c r="AR8" s="990"/>
      <c r="AS8" s="990"/>
      <c r="AT8" s="990"/>
      <c r="AU8" s="991"/>
      <c r="BC8" t="s">
        <v>305</v>
      </c>
    </row>
    <row r="9" spans="2:55" ht="15.75" customHeight="1" thickBot="1">
      <c r="B9" s="724"/>
      <c r="C9" s="725"/>
      <c r="D9" s="725"/>
      <c r="E9" s="725"/>
      <c r="F9" s="725"/>
      <c r="G9" s="461" t="s">
        <v>274</v>
      </c>
      <c r="H9" s="461" t="s">
        <v>284</v>
      </c>
      <c r="I9" s="461" t="s">
        <v>275</v>
      </c>
      <c r="J9" s="461" t="s">
        <v>276</v>
      </c>
      <c r="K9" s="461" t="s">
        <v>277</v>
      </c>
      <c r="L9" s="461" t="s">
        <v>278</v>
      </c>
      <c r="M9" s="461" t="s">
        <v>279</v>
      </c>
      <c r="N9" s="461" t="s">
        <v>280</v>
      </c>
      <c r="O9" s="461" t="s">
        <v>281</v>
      </c>
      <c r="P9" s="461" t="s">
        <v>282</v>
      </c>
      <c r="Q9" s="461" t="s">
        <v>283</v>
      </c>
      <c r="R9" s="725"/>
      <c r="S9" s="725"/>
      <c r="T9" s="725"/>
      <c r="U9" s="726"/>
      <c r="V9" s="995" t="s">
        <v>118</v>
      </c>
      <c r="W9" s="996"/>
      <c r="X9" s="996"/>
      <c r="Y9" s="997"/>
      <c r="Z9" s="976" t="s">
        <v>119</v>
      </c>
      <c r="AA9" s="977"/>
      <c r="AB9" s="977"/>
      <c r="AC9" s="977"/>
      <c r="AD9" s="977"/>
      <c r="AE9" s="977"/>
      <c r="AF9" s="977"/>
      <c r="AG9" s="977"/>
      <c r="AH9" s="977"/>
      <c r="AI9" s="977"/>
      <c r="AJ9" s="978"/>
      <c r="AK9" s="976" t="s">
        <v>120</v>
      </c>
      <c r="AL9" s="977"/>
      <c r="AM9" s="977"/>
      <c r="AN9" s="977"/>
      <c r="AO9" s="977"/>
      <c r="AP9" s="977"/>
      <c r="AQ9" s="977"/>
      <c r="AR9" s="977"/>
      <c r="AS9" s="977"/>
      <c r="AT9" s="977"/>
      <c r="AU9" s="978"/>
      <c r="BC9" s="730">
        <v>0.1</v>
      </c>
    </row>
    <row r="10" spans="2:55" ht="19.5" customHeight="1" thickBot="1">
      <c r="B10" s="190" t="s">
        <v>122</v>
      </c>
      <c r="C10" s="998" t="s">
        <v>123</v>
      </c>
      <c r="D10" s="999"/>
      <c r="E10" s="999"/>
      <c r="F10" s="1000"/>
      <c r="G10" s="459">
        <f t="shared" ref="G10:Q10" si="0">R6</f>
        <v>241.58</v>
      </c>
      <c r="H10" s="459">
        <f t="shared" si="0"/>
        <v>279.38</v>
      </c>
      <c r="I10" s="459">
        <f t="shared" si="0"/>
        <v>287.58</v>
      </c>
      <c r="J10" s="459">
        <f t="shared" si="0"/>
        <v>333.84</v>
      </c>
      <c r="K10" s="459">
        <f t="shared" si="0"/>
        <v>360.84</v>
      </c>
      <c r="L10" s="459">
        <f t="shared" si="0"/>
        <v>0</v>
      </c>
      <c r="M10" s="459">
        <f t="shared" si="0"/>
        <v>418.68</v>
      </c>
      <c r="N10" s="459">
        <f t="shared" si="0"/>
        <v>445.68</v>
      </c>
      <c r="O10" s="459">
        <f t="shared" si="0"/>
        <v>453.64</v>
      </c>
      <c r="P10" s="459">
        <f t="shared" si="0"/>
        <v>460.18</v>
      </c>
      <c r="Q10" s="459">
        <f t="shared" si="0"/>
        <v>536.6</v>
      </c>
      <c r="R10" s="726" t="s">
        <v>124</v>
      </c>
      <c r="S10" s="192" t="s">
        <v>125</v>
      </c>
      <c r="T10" s="193" t="s">
        <v>126</v>
      </c>
      <c r="U10" s="192" t="s">
        <v>127</v>
      </c>
      <c r="V10" s="194" t="s">
        <v>128</v>
      </c>
      <c r="W10" s="1001" t="s">
        <v>124</v>
      </c>
      <c r="X10" s="1002"/>
      <c r="Y10" s="1003"/>
      <c r="Z10" s="257" t="s">
        <v>286</v>
      </c>
      <c r="AA10" s="258" t="s">
        <v>287</v>
      </c>
      <c r="AB10" s="258" t="s">
        <v>288</v>
      </c>
      <c r="AC10" s="258" t="s">
        <v>289</v>
      </c>
      <c r="AD10" s="258" t="s">
        <v>290</v>
      </c>
      <c r="AE10" s="258" t="s">
        <v>291</v>
      </c>
      <c r="AF10" s="258" t="s">
        <v>292</v>
      </c>
      <c r="AG10" s="258" t="s">
        <v>293</v>
      </c>
      <c r="AH10" s="258" t="s">
        <v>294</v>
      </c>
      <c r="AI10" s="258" t="s">
        <v>295</v>
      </c>
      <c r="AJ10" s="258" t="s">
        <v>296</v>
      </c>
      <c r="AK10" s="257" t="s">
        <v>286</v>
      </c>
      <c r="AL10" s="258" t="s">
        <v>287</v>
      </c>
      <c r="AM10" s="258" t="s">
        <v>288</v>
      </c>
      <c r="AN10" s="258" t="s">
        <v>289</v>
      </c>
      <c r="AO10" s="258" t="s">
        <v>290</v>
      </c>
      <c r="AP10" s="258" t="s">
        <v>291</v>
      </c>
      <c r="AQ10" s="258" t="s">
        <v>292</v>
      </c>
      <c r="AR10" s="258" t="s">
        <v>293</v>
      </c>
      <c r="AS10" s="258" t="s">
        <v>294</v>
      </c>
      <c r="AT10" s="258" t="s">
        <v>295</v>
      </c>
      <c r="AU10" s="259" t="s">
        <v>296</v>
      </c>
      <c r="BC10" s="730">
        <v>0.25</v>
      </c>
    </row>
    <row r="11" spans="2:55">
      <c r="B11" s="205" t="s">
        <v>139</v>
      </c>
      <c r="C11" s="982" t="s">
        <v>273</v>
      </c>
      <c r="D11" s="992"/>
      <c r="E11" s="992"/>
      <c r="F11" s="984"/>
      <c r="G11" s="460">
        <f>'Cadastro - Padrões Lambda'!$F$70</f>
        <v>0.13</v>
      </c>
      <c r="H11" s="460">
        <f>'Cadastro - Padrões Lambda'!$F$70</f>
        <v>0.13</v>
      </c>
      <c r="I11" s="460">
        <f>'Cadastro - Padrões Lambda'!$F$70</f>
        <v>0.13</v>
      </c>
      <c r="J11" s="460">
        <f>'Cadastro - Padrões Lambda'!$F$70</f>
        <v>0.13</v>
      </c>
      <c r="K11" s="460">
        <f>'Cadastro - Padrões Lambda'!$F$70</f>
        <v>0.13</v>
      </c>
      <c r="L11" s="460">
        <f>'Cadastro - Padrões Lambda'!$F$70</f>
        <v>0.13</v>
      </c>
      <c r="M11" s="460">
        <f>'Cadastro - Padrões Lambda'!$F$70</f>
        <v>0.13</v>
      </c>
      <c r="N11" s="460">
        <f>'Cadastro - Padrões Lambda'!$F$70</f>
        <v>0.13</v>
      </c>
      <c r="O11" s="460">
        <f>'Cadastro - Padrões Lambda'!$F$70</f>
        <v>0.13</v>
      </c>
      <c r="P11" s="460">
        <f>'Cadastro - Padrões Lambda'!$F$70</f>
        <v>0.13</v>
      </c>
      <c r="Q11" s="460">
        <f>'Cadastro - Padrões Lambda'!$F$70</f>
        <v>0.13</v>
      </c>
      <c r="R11" s="197" t="s">
        <v>53</v>
      </c>
      <c r="S11" s="196" t="s">
        <v>136</v>
      </c>
      <c r="T11" s="196" t="s">
        <v>132</v>
      </c>
      <c r="U11" s="198">
        <v>2</v>
      </c>
      <c r="V11" s="196">
        <v>1</v>
      </c>
      <c r="W11" s="196" t="s">
        <v>130</v>
      </c>
      <c r="X11" s="196" t="s">
        <v>133</v>
      </c>
      <c r="Y11" s="256" t="s">
        <v>130</v>
      </c>
      <c r="Z11" s="462">
        <f>IF(ISNUMBER(G11),G11/$U$11,"")</f>
        <v>6.5000000000000002E-2</v>
      </c>
      <c r="AA11" s="199">
        <f>IF(ISNUMBER(H11),H11/$U$11,"")</f>
        <v>6.5000000000000002E-2</v>
      </c>
      <c r="AB11" s="199">
        <f>IF(ISNUMBER(I11),I11/$U$11,"")</f>
        <v>6.5000000000000002E-2</v>
      </c>
      <c r="AC11" s="199">
        <f>IF(ISNUMBER(J11),J11/$U$11,"")</f>
        <v>6.5000000000000002E-2</v>
      </c>
      <c r="AD11" s="199">
        <f>IF(ISNUMBER(K11),K11/$U$11,"")</f>
        <v>6.5000000000000002E-2</v>
      </c>
      <c r="AE11" s="199">
        <f t="shared" ref="AE11:AJ12" si="1">IF(ISNUMBER(L11),L11/$U$11,"")</f>
        <v>6.5000000000000002E-2</v>
      </c>
      <c r="AF11" s="199">
        <f t="shared" si="1"/>
        <v>6.5000000000000002E-2</v>
      </c>
      <c r="AG11" s="199">
        <f t="shared" si="1"/>
        <v>6.5000000000000002E-2</v>
      </c>
      <c r="AH11" s="199">
        <f t="shared" si="1"/>
        <v>6.5000000000000002E-2</v>
      </c>
      <c r="AI11" s="199">
        <f t="shared" si="1"/>
        <v>6.5000000000000002E-2</v>
      </c>
      <c r="AJ11" s="463">
        <f t="shared" si="1"/>
        <v>6.5000000000000002E-2</v>
      </c>
      <c r="AK11" s="686" t="s">
        <v>138</v>
      </c>
      <c r="AL11" s="468" t="s">
        <v>138</v>
      </c>
      <c r="AM11" s="468" t="s">
        <v>138</v>
      </c>
      <c r="AN11" s="468" t="s">
        <v>138</v>
      </c>
      <c r="AO11" s="468" t="s">
        <v>138</v>
      </c>
      <c r="AP11" s="468" t="s">
        <v>138</v>
      </c>
      <c r="AQ11" s="468" t="s">
        <v>138</v>
      </c>
      <c r="AR11" s="468" t="s">
        <v>138</v>
      </c>
      <c r="AS11" s="468" t="s">
        <v>138</v>
      </c>
      <c r="AT11" s="468" t="s">
        <v>138</v>
      </c>
      <c r="AU11" s="687" t="s">
        <v>138</v>
      </c>
      <c r="BC11" s="730">
        <v>0.5</v>
      </c>
    </row>
    <row r="12" spans="2:55">
      <c r="B12" s="205" t="s">
        <v>302</v>
      </c>
      <c r="C12" s="982" t="s">
        <v>464</v>
      </c>
      <c r="D12" s="983"/>
      <c r="E12" s="983"/>
      <c r="F12" s="984"/>
      <c r="G12" s="196">
        <f xml:space="preserve"> 0.01</f>
        <v>0.01</v>
      </c>
      <c r="H12" s="196">
        <f t="shared" ref="H12:Q12" si="2" xml:space="preserve"> 0.01</f>
        <v>0.01</v>
      </c>
      <c r="I12" s="196">
        <f t="shared" si="2"/>
        <v>0.01</v>
      </c>
      <c r="J12" s="196">
        <f t="shared" si="2"/>
        <v>0.01</v>
      </c>
      <c r="K12" s="196">
        <f t="shared" si="2"/>
        <v>0.01</v>
      </c>
      <c r="L12" s="196">
        <f t="shared" si="2"/>
        <v>0.01</v>
      </c>
      <c r="M12" s="196">
        <f t="shared" si="2"/>
        <v>0.01</v>
      </c>
      <c r="N12" s="196">
        <f t="shared" si="2"/>
        <v>0.01</v>
      </c>
      <c r="O12" s="196">
        <f t="shared" si="2"/>
        <v>0.01</v>
      </c>
      <c r="P12" s="196">
        <f t="shared" si="2"/>
        <v>0.01</v>
      </c>
      <c r="Q12" s="196">
        <f t="shared" si="2"/>
        <v>0.01</v>
      </c>
      <c r="R12" s="198" t="s">
        <v>53</v>
      </c>
      <c r="S12" s="196" t="s">
        <v>136</v>
      </c>
      <c r="T12" s="196" t="s">
        <v>132</v>
      </c>
      <c r="U12" s="198">
        <f xml:space="preserve"> SQRT(3)</f>
        <v>1.7320508075688772</v>
      </c>
      <c r="V12" s="196">
        <v>1</v>
      </c>
      <c r="W12" s="196" t="s">
        <v>130</v>
      </c>
      <c r="X12" s="196" t="s">
        <v>133</v>
      </c>
      <c r="Y12" s="256" t="s">
        <v>130</v>
      </c>
      <c r="Z12" s="464">
        <f>IF(ISNUMBER(G12),G12/$U$11,"")</f>
        <v>5.0000000000000001E-3</v>
      </c>
      <c r="AA12" s="256">
        <f t="shared" ref="AA12:AD12" si="3">IF(ISNUMBER(H12),H12/$U$11,"")</f>
        <v>5.0000000000000001E-3</v>
      </c>
      <c r="AB12" s="256">
        <f t="shared" si="3"/>
        <v>5.0000000000000001E-3</v>
      </c>
      <c r="AC12" s="256">
        <f t="shared" si="3"/>
        <v>5.0000000000000001E-3</v>
      </c>
      <c r="AD12" s="256">
        <f t="shared" si="3"/>
        <v>5.0000000000000001E-3</v>
      </c>
      <c r="AE12" s="256">
        <f t="shared" si="1"/>
        <v>5.0000000000000001E-3</v>
      </c>
      <c r="AF12" s="256">
        <f t="shared" si="1"/>
        <v>5.0000000000000001E-3</v>
      </c>
      <c r="AG12" s="256">
        <f t="shared" si="1"/>
        <v>5.0000000000000001E-3</v>
      </c>
      <c r="AH12" s="256">
        <f t="shared" si="1"/>
        <v>5.0000000000000001E-3</v>
      </c>
      <c r="AI12" s="256">
        <f t="shared" si="1"/>
        <v>5.0000000000000001E-3</v>
      </c>
      <c r="AJ12" s="465">
        <f t="shared" si="1"/>
        <v>5.0000000000000001E-3</v>
      </c>
      <c r="AK12" s="688">
        <f>2</f>
        <v>2</v>
      </c>
      <c r="AL12" s="269">
        <f>2</f>
        <v>2</v>
      </c>
      <c r="AM12" s="269">
        <f>2</f>
        <v>2</v>
      </c>
      <c r="AN12" s="269">
        <f>2</f>
        <v>2</v>
      </c>
      <c r="AO12" s="269">
        <f>2</f>
        <v>2</v>
      </c>
      <c r="AP12" s="269">
        <f>2</f>
        <v>2</v>
      </c>
      <c r="AQ12" s="269">
        <f>2</f>
        <v>2</v>
      </c>
      <c r="AR12" s="269">
        <f>2</f>
        <v>2</v>
      </c>
      <c r="AS12" s="269">
        <f>2</f>
        <v>2</v>
      </c>
      <c r="AT12" s="269">
        <f>2</f>
        <v>2</v>
      </c>
      <c r="AU12" s="689">
        <f>2</f>
        <v>2</v>
      </c>
      <c r="BC12" s="730">
        <v>1</v>
      </c>
    </row>
    <row r="13" spans="2:55">
      <c r="B13" s="267" t="s">
        <v>304</v>
      </c>
      <c r="C13" s="982" t="s">
        <v>455</v>
      </c>
      <c r="D13" s="983"/>
      <c r="E13" s="983"/>
      <c r="F13" s="984"/>
      <c r="G13" s="196">
        <f>0.012247/(SQRT(3))</f>
        <v>7.0708087467653471E-3</v>
      </c>
      <c r="H13" s="196">
        <f t="shared" ref="H13:Q13" si="4">0.012247/(SQRT(3))</f>
        <v>7.0708087467653471E-3</v>
      </c>
      <c r="I13" s="196">
        <f t="shared" si="4"/>
        <v>7.0708087467653471E-3</v>
      </c>
      <c r="J13" s="196">
        <f t="shared" si="4"/>
        <v>7.0708087467653471E-3</v>
      </c>
      <c r="K13" s="196">
        <f t="shared" si="4"/>
        <v>7.0708087467653471E-3</v>
      </c>
      <c r="L13" s="196">
        <f t="shared" si="4"/>
        <v>7.0708087467653471E-3</v>
      </c>
      <c r="M13" s="196">
        <f t="shared" si="4"/>
        <v>7.0708087467653471E-3</v>
      </c>
      <c r="N13" s="196">
        <f t="shared" si="4"/>
        <v>7.0708087467653471E-3</v>
      </c>
      <c r="O13" s="196">
        <f t="shared" si="4"/>
        <v>7.0708087467653471E-3</v>
      </c>
      <c r="P13" s="196">
        <f t="shared" si="4"/>
        <v>7.0708087467653471E-3</v>
      </c>
      <c r="Q13" s="196">
        <f t="shared" si="4"/>
        <v>7.0708087467653471E-3</v>
      </c>
      <c r="R13" s="198" t="s">
        <v>53</v>
      </c>
      <c r="S13" s="196" t="s">
        <v>131</v>
      </c>
      <c r="T13" s="196" t="s">
        <v>132</v>
      </c>
      <c r="U13" s="731">
        <f xml:space="preserve"> 1</f>
        <v>1</v>
      </c>
      <c r="V13" s="196">
        <v>1</v>
      </c>
      <c r="W13" s="256" t="s">
        <v>130</v>
      </c>
      <c r="X13" s="256" t="s">
        <v>133</v>
      </c>
      <c r="Y13" s="256" t="s">
        <v>130</v>
      </c>
      <c r="Z13" s="464">
        <f>IF(ISNUMBER(G13),G13/$U$13,"")</f>
        <v>7.0708087467653471E-3</v>
      </c>
      <c r="AA13" s="256">
        <f>IF(ISNUMBER(H13),H13/$U$13,"")</f>
        <v>7.0708087467653471E-3</v>
      </c>
      <c r="AB13" s="256">
        <f>IF(ISNUMBER(I13),I13/$U$13,"")</f>
        <v>7.0708087467653471E-3</v>
      </c>
      <c r="AC13" s="256">
        <f>IF(ISNUMBER(J13),J13/$U$13,"")</f>
        <v>7.0708087467653471E-3</v>
      </c>
      <c r="AD13" s="256">
        <f>IF(ISNUMBER(K13),K13/$U$13,"")</f>
        <v>7.0708087467653471E-3</v>
      </c>
      <c r="AE13" s="256">
        <f t="shared" ref="AE13:AJ13" si="5">IF(ISNUMBER(L13),L13/$U$13,"")</f>
        <v>7.0708087467653471E-3</v>
      </c>
      <c r="AF13" s="256">
        <f t="shared" si="5"/>
        <v>7.0708087467653471E-3</v>
      </c>
      <c r="AG13" s="256">
        <f t="shared" si="5"/>
        <v>7.0708087467653471E-3</v>
      </c>
      <c r="AH13" s="256">
        <f t="shared" si="5"/>
        <v>7.0708087467653471E-3</v>
      </c>
      <c r="AI13" s="256">
        <f t="shared" si="5"/>
        <v>7.0708087467653471E-3</v>
      </c>
      <c r="AJ13" s="465">
        <f t="shared" si="5"/>
        <v>7.0708087467653471E-3</v>
      </c>
      <c r="AK13" s="690">
        <f>2</f>
        <v>2</v>
      </c>
      <c r="AL13" s="691">
        <f>2</f>
        <v>2</v>
      </c>
      <c r="AM13" s="691">
        <f>2</f>
        <v>2</v>
      </c>
      <c r="AN13" s="691">
        <f>2</f>
        <v>2</v>
      </c>
      <c r="AO13" s="691">
        <f>2</f>
        <v>2</v>
      </c>
      <c r="AP13" s="691">
        <f>2</f>
        <v>2</v>
      </c>
      <c r="AQ13" s="691">
        <f>2</f>
        <v>2</v>
      </c>
      <c r="AR13" s="691">
        <f>2</f>
        <v>2</v>
      </c>
      <c r="AS13" s="691">
        <f>2</f>
        <v>2</v>
      </c>
      <c r="AT13" s="691">
        <f>2</f>
        <v>2</v>
      </c>
      <c r="AU13" s="692">
        <f>2</f>
        <v>2</v>
      </c>
      <c r="BC13" s="730">
        <v>1.5</v>
      </c>
    </row>
    <row r="14" spans="2:55" ht="15.75" thickBot="1">
      <c r="B14" s="211" t="s">
        <v>303</v>
      </c>
      <c r="C14" s="973" t="s">
        <v>135</v>
      </c>
      <c r="D14" s="974"/>
      <c r="E14" s="974"/>
      <c r="F14" s="975"/>
      <c r="G14" s="213">
        <f>0.01</f>
        <v>0.01</v>
      </c>
      <c r="H14" s="213">
        <f t="shared" ref="H14:Q14" si="6">0.01</f>
        <v>0.01</v>
      </c>
      <c r="I14" s="213">
        <f t="shared" si="6"/>
        <v>0.01</v>
      </c>
      <c r="J14" s="213">
        <f t="shared" si="6"/>
        <v>0.01</v>
      </c>
      <c r="K14" s="213">
        <f t="shared" si="6"/>
        <v>0.01</v>
      </c>
      <c r="L14" s="213">
        <f t="shared" si="6"/>
        <v>0.01</v>
      </c>
      <c r="M14" s="213">
        <f t="shared" si="6"/>
        <v>0.01</v>
      </c>
      <c r="N14" s="213">
        <f t="shared" si="6"/>
        <v>0.01</v>
      </c>
      <c r="O14" s="213">
        <f t="shared" si="6"/>
        <v>0.01</v>
      </c>
      <c r="P14" s="213">
        <f t="shared" si="6"/>
        <v>0.01</v>
      </c>
      <c r="Q14" s="213">
        <f t="shared" si="6"/>
        <v>0.01</v>
      </c>
      <c r="R14" s="212" t="s">
        <v>53</v>
      </c>
      <c r="S14" s="213" t="s">
        <v>136</v>
      </c>
      <c r="T14" s="213" t="s">
        <v>137</v>
      </c>
      <c r="U14" s="212">
        <f>SQRT(12)</f>
        <v>3.4641016151377544</v>
      </c>
      <c r="V14" s="213">
        <v>1</v>
      </c>
      <c r="W14" s="213" t="s">
        <v>130</v>
      </c>
      <c r="X14" s="213" t="s">
        <v>133</v>
      </c>
      <c r="Y14" s="213" t="s">
        <v>130</v>
      </c>
      <c r="Z14" s="466">
        <f>IF(ISNUMBER(G14),G14/$U$14,"")</f>
        <v>2.886751345948129E-3</v>
      </c>
      <c r="AA14" s="213">
        <f>IF(ISNUMBER(H14),H14/$U$14,"")</f>
        <v>2.886751345948129E-3</v>
      </c>
      <c r="AB14" s="213">
        <f>IF(ISNUMBER(I14),I14/$U$14,"")</f>
        <v>2.886751345948129E-3</v>
      </c>
      <c r="AC14" s="213">
        <f>IF(ISNUMBER(J14),J14/$U$14,"")</f>
        <v>2.886751345948129E-3</v>
      </c>
      <c r="AD14" s="213">
        <f>IF(ISNUMBER(K14),K14/$U$14,"")</f>
        <v>2.886751345948129E-3</v>
      </c>
      <c r="AE14" s="213">
        <f t="shared" ref="AE14:AJ14" si="7">IF(ISNUMBER(L14),L14/$U$14,"")</f>
        <v>2.886751345948129E-3</v>
      </c>
      <c r="AF14" s="213">
        <f t="shared" si="7"/>
        <v>2.886751345948129E-3</v>
      </c>
      <c r="AG14" s="213">
        <f t="shared" si="7"/>
        <v>2.886751345948129E-3</v>
      </c>
      <c r="AH14" s="213">
        <f t="shared" si="7"/>
        <v>2.886751345948129E-3</v>
      </c>
      <c r="AI14" s="213">
        <f t="shared" si="7"/>
        <v>2.886751345948129E-3</v>
      </c>
      <c r="AJ14" s="467">
        <f t="shared" si="7"/>
        <v>2.886751345948129E-3</v>
      </c>
      <c r="AK14" s="693" t="s">
        <v>138</v>
      </c>
      <c r="AL14" s="469" t="s">
        <v>138</v>
      </c>
      <c r="AM14" s="469" t="s">
        <v>138</v>
      </c>
      <c r="AN14" s="469" t="s">
        <v>138</v>
      </c>
      <c r="AO14" s="469" t="s">
        <v>138</v>
      </c>
      <c r="AP14" s="469" t="s">
        <v>138</v>
      </c>
      <c r="AQ14" s="469" t="s">
        <v>138</v>
      </c>
      <c r="AR14" s="469" t="s">
        <v>138</v>
      </c>
      <c r="AS14" s="469" t="s">
        <v>138</v>
      </c>
      <c r="AT14" s="469" t="s">
        <v>138</v>
      </c>
      <c r="AU14" s="694" t="s">
        <v>138</v>
      </c>
      <c r="BC14" s="730">
        <v>2</v>
      </c>
    </row>
    <row r="15" spans="2:55" ht="15.75" customHeight="1" thickBot="1">
      <c r="B15" s="218"/>
      <c r="C15" s="219"/>
      <c r="D15" s="219"/>
      <c r="E15" s="219"/>
      <c r="F15" s="219"/>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976" t="s">
        <v>141</v>
      </c>
      <c r="AL15" s="977"/>
      <c r="AM15" s="977"/>
      <c r="AN15" s="977"/>
      <c r="AO15" s="977"/>
      <c r="AP15" s="977"/>
      <c r="AQ15" s="977"/>
      <c r="AR15" s="977"/>
      <c r="AS15" s="977"/>
      <c r="AT15" s="977"/>
      <c r="AU15" s="978"/>
      <c r="BC15" s="730">
        <v>3</v>
      </c>
    </row>
    <row r="16" spans="2:55" ht="15" customHeight="1" thickBot="1">
      <c r="B16" s="195" t="s">
        <v>142</v>
      </c>
      <c r="C16" s="993" t="s">
        <v>143</v>
      </c>
      <c r="D16" s="993"/>
      <c r="E16" s="993"/>
      <c r="F16" s="993"/>
      <c r="G16" s="993"/>
      <c r="H16" s="993"/>
      <c r="I16" s="993"/>
      <c r="J16" s="993"/>
      <c r="K16" s="993"/>
      <c r="L16" s="993"/>
      <c r="M16" s="993"/>
      <c r="N16" s="993"/>
      <c r="O16" s="993"/>
      <c r="P16" s="993"/>
      <c r="Q16" s="993"/>
      <c r="R16" s="993"/>
      <c r="S16" s="993"/>
      <c r="T16" s="993"/>
      <c r="U16" s="993"/>
      <c r="V16" s="993"/>
      <c r="W16" s="993"/>
      <c r="X16" s="994"/>
      <c r="Y16" s="220" t="s">
        <v>130</v>
      </c>
      <c r="Z16" s="221">
        <f xml:space="preserve"> IF(ISNUMBER(Z13),SQRT(SUMSQ($V11*Z11,$V12*Z12,$V13*Z13,$V14*Z14)),"")</f>
        <v>6.5637867650211387E-2</v>
      </c>
      <c r="AA16" s="222">
        <f t="shared" ref="AA16:AJ16" si="8" xml:space="preserve"> IF(ISNUMBER(AA13),SQRT(SUMSQ($V11*AA11,$V12*AA12,$V13*AA13,$V14*AA14)),"")</f>
        <v>6.5637867650211387E-2</v>
      </c>
      <c r="AB16" s="222">
        <f t="shared" si="8"/>
        <v>6.5637867650211387E-2</v>
      </c>
      <c r="AC16" s="222">
        <f t="shared" si="8"/>
        <v>6.5637867650211387E-2</v>
      </c>
      <c r="AD16" s="222">
        <f t="shared" si="8"/>
        <v>6.5637867650211387E-2</v>
      </c>
      <c r="AE16" s="222">
        <f t="shared" si="8"/>
        <v>6.5637867650211387E-2</v>
      </c>
      <c r="AF16" s="222">
        <f t="shared" si="8"/>
        <v>6.5637867650211387E-2</v>
      </c>
      <c r="AG16" s="222">
        <f t="shared" si="8"/>
        <v>6.5637867650211387E-2</v>
      </c>
      <c r="AH16" s="222">
        <f t="shared" si="8"/>
        <v>6.5637867650211387E-2</v>
      </c>
      <c r="AI16" s="222">
        <f t="shared" si="8"/>
        <v>6.5637867650211387E-2</v>
      </c>
      <c r="AJ16" s="223">
        <f t="shared" si="8"/>
        <v>6.5637867650211387E-2</v>
      </c>
      <c r="AK16" s="682">
        <f>IF(AK13="","",IF(Z13 = 0, "∞", IF((Z16^4)/((Z13^4)/AK13) &gt; 1000000, "∞", (Z16^4)/((Z13^4)/AK13))))</f>
        <v>14851.539997967995</v>
      </c>
      <c r="AL16" s="683">
        <f>IF(AL13="","",IF(AA13 = 0, "∞", IF((AA16^4)/((AA13^4)/AL13) &gt; 1000000, "∞", (AA16^4)/((AA13^4)/AL13))))</f>
        <v>14851.539997967995</v>
      </c>
      <c r="AM16" s="683">
        <f>IF(AM13="","",IF(AB13 = 0, "∞", IF((AB16^4)/((AB13^4)/AM13) &gt; 1000000, "∞", (AB16^4)/((AB13^4)/AM13))))</f>
        <v>14851.539997967995</v>
      </c>
      <c r="AN16" s="683">
        <f>IF(AN13="","",IF(AC13 = 0, "∞", IF((AC16^4)/((AC13^4)/AN13) &gt; 1000000, "∞", (AC16^4)/((AC13^4)/AN13))))</f>
        <v>14851.539997967995</v>
      </c>
      <c r="AO16" s="683">
        <f t="shared" ref="AO16:AU16" si="9">IF(AO13="","",IF(AB13 = 0, "∞", IF((AB16^4)/((AB13^4)/AO13) &gt; 1000000, "∞", (AB16^4)/((AB13^4)/AO13))))</f>
        <v>14851.539997967995</v>
      </c>
      <c r="AP16" s="683">
        <f t="shared" si="9"/>
        <v>14851.539997967995</v>
      </c>
      <c r="AQ16" s="683">
        <f t="shared" si="9"/>
        <v>14851.539997967995</v>
      </c>
      <c r="AR16" s="683">
        <f t="shared" si="9"/>
        <v>14851.539997967995</v>
      </c>
      <c r="AS16" s="683">
        <f t="shared" si="9"/>
        <v>14851.539997967995</v>
      </c>
      <c r="AT16" s="683">
        <f t="shared" si="9"/>
        <v>14851.539997967995</v>
      </c>
      <c r="AU16" s="684">
        <f t="shared" si="9"/>
        <v>14851.539997967995</v>
      </c>
      <c r="BC16" s="730">
        <v>4</v>
      </c>
    </row>
    <row r="17" spans="2:55" ht="15" customHeight="1">
      <c r="B17" s="205" t="s">
        <v>144</v>
      </c>
      <c r="C17" s="985" t="s">
        <v>467</v>
      </c>
      <c r="D17" s="985"/>
      <c r="E17" s="985"/>
      <c r="F17" s="985"/>
      <c r="G17" s="985"/>
      <c r="H17" s="985"/>
      <c r="I17" s="985"/>
      <c r="J17" s="985"/>
      <c r="K17" s="985"/>
      <c r="L17" s="985"/>
      <c r="M17" s="985"/>
      <c r="N17" s="985"/>
      <c r="O17" s="985"/>
      <c r="P17" s="985"/>
      <c r="Q17" s="985"/>
      <c r="R17" s="985"/>
      <c r="S17" s="985"/>
      <c r="T17" s="985"/>
      <c r="U17" s="985"/>
      <c r="V17" s="985"/>
      <c r="W17" s="985"/>
      <c r="X17" s="986"/>
      <c r="Y17" s="224" t="s">
        <v>130</v>
      </c>
      <c r="Z17" s="225">
        <f>IF(ISNUMBER(AK18),Z16*AK18,"")</f>
        <v>0.13128694606131339</v>
      </c>
      <c r="AA17" s="226">
        <f>IF(ISNUMBER(AL18),AA16*AL18,"")</f>
        <v>0.13128694606131339</v>
      </c>
      <c r="AB17" s="226">
        <f>IF(ISNUMBER(AM18),AB16*AM18,"")</f>
        <v>0.13128694606131339</v>
      </c>
      <c r="AC17" s="226">
        <f>IF(ISNUMBER(AN18),AC16*AN18,"")</f>
        <v>0.13128694606131339</v>
      </c>
      <c r="AD17" s="226">
        <f>IF(ISNUMBER(AO18),AD16*AO18,"")</f>
        <v>0.13128694606131339</v>
      </c>
      <c r="AE17" s="226">
        <f t="shared" ref="AE17:AJ17" si="10">IF(ISNUMBER(AP18),AE16*AP18,"")</f>
        <v>0.13128694606131339</v>
      </c>
      <c r="AF17" s="226">
        <f t="shared" si="10"/>
        <v>0.13128694606131339</v>
      </c>
      <c r="AG17" s="226">
        <f t="shared" si="10"/>
        <v>0.13128694606131339</v>
      </c>
      <c r="AH17" s="226">
        <f t="shared" si="10"/>
        <v>0.13128694606131339</v>
      </c>
      <c r="AI17" s="226">
        <f t="shared" si="10"/>
        <v>0.13128694606131339</v>
      </c>
      <c r="AJ17" s="226">
        <f t="shared" si="10"/>
        <v>0.13128694606131339</v>
      </c>
      <c r="AK17" s="976" t="s">
        <v>146</v>
      </c>
      <c r="AL17" s="977"/>
      <c r="AM17" s="977"/>
      <c r="AN17" s="977"/>
      <c r="AO17" s="977"/>
      <c r="AP17" s="977"/>
      <c r="AQ17" s="977"/>
      <c r="AR17" s="977"/>
      <c r="AS17" s="977"/>
      <c r="AT17" s="977"/>
      <c r="AU17" s="978"/>
      <c r="BC17" s="730">
        <v>5</v>
      </c>
    </row>
    <row r="18" spans="2:55" ht="15.75" thickBot="1">
      <c r="B18" s="211" t="s">
        <v>144</v>
      </c>
      <c r="C18" s="987" t="s">
        <v>147</v>
      </c>
      <c r="D18" s="987"/>
      <c r="E18" s="987"/>
      <c r="F18" s="987"/>
      <c r="G18" s="987"/>
      <c r="H18" s="987"/>
      <c r="I18" s="987"/>
      <c r="J18" s="987"/>
      <c r="K18" s="987"/>
      <c r="L18" s="987"/>
      <c r="M18" s="987"/>
      <c r="N18" s="987"/>
      <c r="O18" s="987"/>
      <c r="P18" s="987"/>
      <c r="Q18" s="987"/>
      <c r="R18" s="987"/>
      <c r="S18" s="987"/>
      <c r="T18" s="987"/>
      <c r="U18" s="987"/>
      <c r="V18" s="987"/>
      <c r="W18" s="987"/>
      <c r="X18" s="988"/>
      <c r="Y18" s="227" t="s">
        <v>130</v>
      </c>
      <c r="Z18" s="213">
        <f>IF(ISNUMBER(Z17), IF(((Z17-ROUNDDOWN(Z17,1))/Z17)*100 &gt; 5,ROUNDUP(Z17,1), ROUNDDOWN(Z17,1)),"")</f>
        <v>0.2</v>
      </c>
      <c r="AA18" s="213">
        <f>IF(ISNUMBER(AA17), IF(((AA17-ROUNDDOWN(AA17,1))/AA17)*100 &gt; 5,ROUNDUP(AA17,1), ROUNDDOWN(AA17,1)),"")</f>
        <v>0.2</v>
      </c>
      <c r="AB18" s="213">
        <f>IF(ISNUMBER(AB17), IF(((AB17-ROUNDDOWN(AB17,1))/AB17)*100 &gt; 5,ROUNDUP(AB17,1), ROUNDDOWN(AB17,1)),"")</f>
        <v>0.2</v>
      </c>
      <c r="AC18" s="213">
        <f>IF(ISNUMBER(AC17), IF(((AC17-ROUNDDOWN(AC17,1))/AC17)*100 &gt; 5,ROUNDUP(AC17,1), ROUNDDOWN(AC17,1)),"")</f>
        <v>0.2</v>
      </c>
      <c r="AD18" s="213">
        <f>IF(ISNUMBER(AD17), IF(((AD17-ROUNDDOWN(AD17,1))/AD17)*100 &gt; 5,ROUNDUP(AD17,1), ROUNDDOWN(AD17,1)),"")</f>
        <v>0.2</v>
      </c>
      <c r="AE18" s="213">
        <f t="shared" ref="AE18:AJ18" si="11">IF(ISNUMBER(AE17), IF(((AE17-ROUNDDOWN(AE17,1))/AE17)*100 &gt; 5,ROUNDUP(AE17,1), ROUNDDOWN(AE17,1)),"")</f>
        <v>0.2</v>
      </c>
      <c r="AF18" s="213">
        <f t="shared" si="11"/>
        <v>0.2</v>
      </c>
      <c r="AG18" s="213">
        <f t="shared" si="11"/>
        <v>0.2</v>
      </c>
      <c r="AH18" s="213">
        <f t="shared" si="11"/>
        <v>0.2</v>
      </c>
      <c r="AI18" s="213">
        <f t="shared" si="11"/>
        <v>0.2</v>
      </c>
      <c r="AJ18" s="213">
        <f t="shared" si="11"/>
        <v>0.2</v>
      </c>
      <c r="AK18" s="480">
        <f t="shared" ref="AK18:AU18" si="12">IF(AK16 ="∞", 2, IF(ISNUMBER(AK16), IF(AK16 &gt; 1000000, 2,_xlfn.T.INV.2T(1-0.9545,AK16))))</f>
        <v>2.0001707971524967</v>
      </c>
      <c r="AL18" s="481">
        <f t="shared" si="12"/>
        <v>2.0001707971524967</v>
      </c>
      <c r="AM18" s="481">
        <f t="shared" si="12"/>
        <v>2.0001707971524967</v>
      </c>
      <c r="AN18" s="481">
        <f t="shared" si="12"/>
        <v>2.0001707971524967</v>
      </c>
      <c r="AO18" s="481">
        <f t="shared" si="12"/>
        <v>2.0001707971524967</v>
      </c>
      <c r="AP18" s="481">
        <f t="shared" si="12"/>
        <v>2.0001707971524967</v>
      </c>
      <c r="AQ18" s="481">
        <f t="shared" si="12"/>
        <v>2.0001707971524967</v>
      </c>
      <c r="AR18" s="481">
        <f t="shared" si="12"/>
        <v>2.0001707971524967</v>
      </c>
      <c r="AS18" s="481">
        <f t="shared" si="12"/>
        <v>2.0001707971524967</v>
      </c>
      <c r="AT18" s="481">
        <f t="shared" si="12"/>
        <v>2.0001707971524967</v>
      </c>
      <c r="AU18" s="482">
        <f t="shared" si="12"/>
        <v>2.0001707971524967</v>
      </c>
    </row>
    <row r="19" spans="2:55" ht="15.75" thickBot="1">
      <c r="D19" s="129"/>
      <c r="AK19" s="260"/>
    </row>
    <row r="20" spans="2:55">
      <c r="B20" s="520" t="s">
        <v>306</v>
      </c>
      <c r="C20" s="492" t="s">
        <v>447</v>
      </c>
      <c r="D20" s="129"/>
      <c r="Z20" s="976" t="s">
        <v>121</v>
      </c>
      <c r="AA20" s="977"/>
      <c r="AB20" s="977"/>
      <c r="AC20" s="977"/>
      <c r="AD20" s="977"/>
      <c r="AE20" s="977"/>
      <c r="AF20" s="977"/>
      <c r="AG20" s="977"/>
      <c r="AH20" s="977"/>
      <c r="AI20" s="977"/>
      <c r="AJ20" s="978"/>
      <c r="AK20" s="260"/>
    </row>
    <row r="21" spans="2:55" ht="15.75" thickBot="1">
      <c r="Z21" s="257" t="s">
        <v>286</v>
      </c>
      <c r="AA21" s="258" t="s">
        <v>287</v>
      </c>
      <c r="AB21" s="258" t="s">
        <v>288</v>
      </c>
      <c r="AC21" s="258" t="s">
        <v>289</v>
      </c>
      <c r="AD21" s="258" t="s">
        <v>290</v>
      </c>
      <c r="AE21" s="258" t="s">
        <v>291</v>
      </c>
      <c r="AF21" s="258" t="s">
        <v>292</v>
      </c>
      <c r="AG21" s="258" t="s">
        <v>293</v>
      </c>
      <c r="AH21" s="258" t="s">
        <v>294</v>
      </c>
      <c r="AI21" s="258" t="s">
        <v>295</v>
      </c>
      <c r="AJ21" s="259" t="s">
        <v>296</v>
      </c>
    </row>
    <row r="22" spans="2:55">
      <c r="C22" s="260"/>
      <c r="U22" s="195" t="s">
        <v>139</v>
      </c>
      <c r="V22" s="979" t="s">
        <v>273</v>
      </c>
      <c r="W22" s="980"/>
      <c r="X22" s="980"/>
      <c r="Y22" s="981"/>
      <c r="Z22" s="470">
        <f t="shared" ref="Z22:AJ22" si="13">IF(ISNUMBER(Z11),IF(ISNUMBER(Z16),(Z11^2)/(Z16^2),""),"")</f>
        <v>0.9806584741522083</v>
      </c>
      <c r="AA22" s="203">
        <f t="shared" si="13"/>
        <v>0.9806584741522083</v>
      </c>
      <c r="AB22" s="203">
        <f t="shared" si="13"/>
        <v>0.9806584741522083</v>
      </c>
      <c r="AC22" s="203">
        <f t="shared" si="13"/>
        <v>0.9806584741522083</v>
      </c>
      <c r="AD22" s="203">
        <f t="shared" si="13"/>
        <v>0.9806584741522083</v>
      </c>
      <c r="AE22" s="203">
        <f t="shared" si="13"/>
        <v>0.9806584741522083</v>
      </c>
      <c r="AF22" s="203">
        <f t="shared" si="13"/>
        <v>0.9806584741522083</v>
      </c>
      <c r="AG22" s="203">
        <f t="shared" si="13"/>
        <v>0.9806584741522083</v>
      </c>
      <c r="AH22" s="203">
        <f t="shared" si="13"/>
        <v>0.9806584741522083</v>
      </c>
      <c r="AI22" s="203">
        <f t="shared" si="13"/>
        <v>0.9806584741522083</v>
      </c>
      <c r="AJ22" s="204">
        <f t="shared" si="13"/>
        <v>0.9806584741522083</v>
      </c>
    </row>
    <row r="23" spans="2:55">
      <c r="C23" s="260"/>
      <c r="U23" s="205" t="s">
        <v>302</v>
      </c>
      <c r="V23" s="982" t="s">
        <v>297</v>
      </c>
      <c r="W23" s="983"/>
      <c r="X23" s="983"/>
      <c r="Y23" s="984"/>
      <c r="Z23" s="471">
        <f t="shared" ref="Z23:AJ23" si="14">IF(ISNUMBER(Z12),IF(ISNUMBER(Z16),(Z12^2)/(Z16^2),""),"")</f>
        <v>5.8027128648059654E-3</v>
      </c>
      <c r="AA23" s="266">
        <f t="shared" si="14"/>
        <v>5.8027128648059654E-3</v>
      </c>
      <c r="AB23" s="266">
        <f t="shared" si="14"/>
        <v>5.8027128648059654E-3</v>
      </c>
      <c r="AC23" s="266">
        <f t="shared" si="14"/>
        <v>5.8027128648059654E-3</v>
      </c>
      <c r="AD23" s="266">
        <f t="shared" si="14"/>
        <v>5.8027128648059654E-3</v>
      </c>
      <c r="AE23" s="266">
        <f t="shared" si="14"/>
        <v>5.8027128648059654E-3</v>
      </c>
      <c r="AF23" s="266">
        <f t="shared" si="14"/>
        <v>5.8027128648059654E-3</v>
      </c>
      <c r="AG23" s="266">
        <f t="shared" si="14"/>
        <v>5.8027128648059654E-3</v>
      </c>
      <c r="AH23" s="266">
        <f t="shared" si="14"/>
        <v>5.8027128648059654E-3</v>
      </c>
      <c r="AI23" s="266">
        <f t="shared" si="14"/>
        <v>5.8027128648059654E-3</v>
      </c>
      <c r="AJ23" s="210">
        <f t="shared" si="14"/>
        <v>5.8027128648059654E-3</v>
      </c>
    </row>
    <row r="24" spans="2:55">
      <c r="U24" s="267" t="s">
        <v>304</v>
      </c>
      <c r="V24" s="982" t="s">
        <v>175</v>
      </c>
      <c r="W24" s="983"/>
      <c r="X24" s="983"/>
      <c r="Y24" s="984"/>
      <c r="Z24" s="471">
        <f t="shared" ref="Z24:AJ24" si="15">IF(ISNUMBER(Z13),IF(ISNUMBER(Z16),(Z13^2)/(Z16^2),""),"")</f>
        <v>1.160457536138397E-2</v>
      </c>
      <c r="AA24" s="266">
        <f t="shared" si="15"/>
        <v>1.160457536138397E-2</v>
      </c>
      <c r="AB24" s="266">
        <f t="shared" si="15"/>
        <v>1.160457536138397E-2</v>
      </c>
      <c r="AC24" s="266">
        <f t="shared" si="15"/>
        <v>1.160457536138397E-2</v>
      </c>
      <c r="AD24" s="266">
        <f t="shared" si="15"/>
        <v>1.160457536138397E-2</v>
      </c>
      <c r="AE24" s="266">
        <f t="shared" si="15"/>
        <v>1.160457536138397E-2</v>
      </c>
      <c r="AF24" s="266">
        <f t="shared" si="15"/>
        <v>1.160457536138397E-2</v>
      </c>
      <c r="AG24" s="266">
        <f t="shared" si="15"/>
        <v>1.160457536138397E-2</v>
      </c>
      <c r="AH24" s="266">
        <f t="shared" si="15"/>
        <v>1.160457536138397E-2</v>
      </c>
      <c r="AI24" s="266">
        <f t="shared" si="15"/>
        <v>1.160457536138397E-2</v>
      </c>
      <c r="AJ24" s="210">
        <f t="shared" si="15"/>
        <v>1.160457536138397E-2</v>
      </c>
    </row>
    <row r="25" spans="2:55" ht="15.75" thickBot="1">
      <c r="U25" s="211" t="s">
        <v>303</v>
      </c>
      <c r="V25" s="973" t="s">
        <v>135</v>
      </c>
      <c r="W25" s="974"/>
      <c r="X25" s="974"/>
      <c r="Y25" s="975"/>
      <c r="Z25" s="472">
        <f t="shared" ref="Z25:AJ25" si="16">IF(ISNUMBER(Z14),IF(ISNUMBER(Z16),(Z14^2)/(Z16^2),""),"")</f>
        <v>1.9342376216019885E-3</v>
      </c>
      <c r="AA25" s="216">
        <f t="shared" si="16"/>
        <v>1.9342376216019885E-3</v>
      </c>
      <c r="AB25" s="216">
        <f t="shared" si="16"/>
        <v>1.9342376216019885E-3</v>
      </c>
      <c r="AC25" s="216">
        <f t="shared" si="16"/>
        <v>1.9342376216019885E-3</v>
      </c>
      <c r="AD25" s="216">
        <f t="shared" si="16"/>
        <v>1.9342376216019885E-3</v>
      </c>
      <c r="AE25" s="216">
        <f t="shared" si="16"/>
        <v>1.9342376216019885E-3</v>
      </c>
      <c r="AF25" s="216">
        <f t="shared" si="16"/>
        <v>1.9342376216019885E-3</v>
      </c>
      <c r="AG25" s="216">
        <f t="shared" si="16"/>
        <v>1.9342376216019885E-3</v>
      </c>
      <c r="AH25" s="216">
        <f t="shared" si="16"/>
        <v>1.9342376216019885E-3</v>
      </c>
      <c r="AI25" s="216">
        <f t="shared" si="16"/>
        <v>1.9342376216019885E-3</v>
      </c>
      <c r="AJ25" s="217">
        <f t="shared" si="16"/>
        <v>1.9342376216019885E-3</v>
      </c>
    </row>
  </sheetData>
  <dataConsolidate/>
  <mergeCells count="27">
    <mergeCell ref="B1:Z1"/>
    <mergeCell ref="B2:Z2"/>
    <mergeCell ref="B4:AU4"/>
    <mergeCell ref="C6:E6"/>
    <mergeCell ref="K6:L6"/>
    <mergeCell ref="N6:Q6"/>
    <mergeCell ref="AK6:AL6"/>
    <mergeCell ref="C16:X16"/>
    <mergeCell ref="B8:AU8"/>
    <mergeCell ref="V9:Y9"/>
    <mergeCell ref="Z9:AJ9"/>
    <mergeCell ref="AK9:AU9"/>
    <mergeCell ref="C10:F10"/>
    <mergeCell ref="W10:Y10"/>
    <mergeCell ref="C11:F11"/>
    <mergeCell ref="C12:F12"/>
    <mergeCell ref="C13:F13"/>
    <mergeCell ref="C14:F14"/>
    <mergeCell ref="AK15:AU15"/>
    <mergeCell ref="V24:Y24"/>
    <mergeCell ref="V25:Y25"/>
    <mergeCell ref="C17:X17"/>
    <mergeCell ref="AK17:AU17"/>
    <mergeCell ref="C18:X18"/>
    <mergeCell ref="Z20:AJ20"/>
    <mergeCell ref="V22:Y22"/>
    <mergeCell ref="V23:Y23"/>
  </mergeCells>
  <dataValidations count="1">
    <dataValidation type="list" allowBlank="1" showInputMessage="1" showErrorMessage="1" sqref="M6" xr:uid="{88A2564E-32F7-4C4C-A962-8292F7B5DC2B}">
      <formula1>$BC$9:$BC$17</formula1>
    </dataValidation>
  </dataValidations>
  <pageMargins left="0.511811024" right="0.511811024" top="0.78740157499999996" bottom="0.78740157499999996" header="0.31496062000000002" footer="0.31496062000000002"/>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A2C0B-5BA0-405F-A164-DCCF5E6B8190}">
  <dimension ref="B1:AK85"/>
  <sheetViews>
    <sheetView tabSelected="1" topLeftCell="A16" zoomScaleNormal="100" workbookViewId="0">
      <selection activeCell="AA48" sqref="AA48"/>
    </sheetView>
  </sheetViews>
  <sheetFormatPr defaultRowHeight="15"/>
  <cols>
    <col min="1" max="1" width="2.85546875" customWidth="1"/>
    <col min="7" max="7" width="13.5703125" bestFit="1" customWidth="1"/>
    <col min="10" max="11" width="9.28515625" customWidth="1"/>
    <col min="14" max="14" width="10" customWidth="1"/>
    <col min="20" max="21" width="9.5703125" customWidth="1"/>
    <col min="22" max="22" width="10.5703125" customWidth="1"/>
    <col min="23" max="26" width="9.5703125" customWidth="1"/>
    <col min="27" max="27" width="10.140625" customWidth="1"/>
    <col min="28" max="31" width="9.5703125" customWidth="1"/>
    <col min="32" max="32" width="10.140625" customWidth="1"/>
    <col min="33" max="34" width="9.5703125" customWidth="1"/>
    <col min="36" max="36" width="30.42578125" customWidth="1"/>
    <col min="37" max="37" width="22.28515625" customWidth="1"/>
  </cols>
  <sheetData>
    <row r="1" spans="2:37" ht="23.25" customHeight="1">
      <c r="B1" s="1004" t="s">
        <v>115</v>
      </c>
      <c r="C1" s="1004"/>
      <c r="D1" s="1004"/>
      <c r="E1" s="1004"/>
      <c r="F1" s="1004"/>
      <c r="G1" s="1004"/>
      <c r="H1" s="1004"/>
      <c r="I1" s="1004"/>
      <c r="J1" s="1004"/>
      <c r="K1" s="1004"/>
      <c r="L1" s="1004"/>
      <c r="M1" s="1004"/>
      <c r="N1" s="1004"/>
      <c r="O1" s="1004"/>
      <c r="P1" s="1004"/>
      <c r="Q1" s="1004"/>
      <c r="R1" s="1004"/>
      <c r="S1" s="1004"/>
      <c r="T1" s="1004"/>
      <c r="U1" s="1020"/>
      <c r="V1" s="1020"/>
      <c r="W1" s="1020"/>
      <c r="X1" s="1020"/>
      <c r="Y1" s="1020"/>
      <c r="Z1" s="1020"/>
      <c r="AA1" s="1020"/>
      <c r="AB1" s="1020"/>
      <c r="AC1" s="1020"/>
      <c r="AD1" s="1020"/>
      <c r="AE1" s="1020"/>
      <c r="AF1" s="1020"/>
      <c r="AG1" s="1020"/>
      <c r="AH1" s="1020"/>
    </row>
    <row r="2" spans="2:37" ht="23.25" customHeight="1">
      <c r="B2" s="1005" t="s">
        <v>451</v>
      </c>
      <c r="C2" s="1005"/>
      <c r="D2" s="1005"/>
      <c r="E2" s="1005"/>
      <c r="F2" s="1005"/>
      <c r="G2" s="1005"/>
      <c r="H2" s="1005"/>
      <c r="I2" s="1005"/>
      <c r="J2" s="1005"/>
      <c r="K2" s="1005"/>
      <c r="L2" s="1005"/>
      <c r="M2" s="1005"/>
      <c r="N2" s="1005"/>
      <c r="O2" s="1005"/>
      <c r="P2" s="1005"/>
      <c r="Q2" s="1005"/>
      <c r="R2" s="1005"/>
      <c r="S2" s="1005"/>
      <c r="T2" s="1005"/>
      <c r="U2" s="1020"/>
      <c r="V2" s="1020"/>
      <c r="W2" s="1020"/>
      <c r="X2" s="1020"/>
      <c r="Y2" s="1020"/>
      <c r="Z2" s="1020"/>
      <c r="AA2" s="1020"/>
      <c r="AB2" s="1020"/>
      <c r="AC2" s="1020"/>
      <c r="AD2" s="1020"/>
      <c r="AE2" s="1020"/>
      <c r="AF2" s="1020"/>
      <c r="AG2" s="1020"/>
      <c r="AH2" s="1020"/>
    </row>
    <row r="3" spans="2:37" ht="4.5" customHeight="1"/>
    <row r="4" spans="2:37" ht="18.75">
      <c r="B4" s="1019" t="s">
        <v>448</v>
      </c>
      <c r="C4" s="1019"/>
      <c r="D4" s="1019"/>
      <c r="E4" s="1019"/>
      <c r="F4" s="1019"/>
      <c r="G4" s="1019"/>
      <c r="H4" s="1019"/>
      <c r="I4" s="1019"/>
      <c r="J4" s="1019"/>
      <c r="K4" s="1019"/>
      <c r="L4" s="1019"/>
      <c r="M4" s="1019"/>
      <c r="N4" s="1019"/>
      <c r="O4" s="1019"/>
      <c r="P4" s="1019"/>
      <c r="Q4" s="1019"/>
      <c r="R4" s="1019"/>
      <c r="S4" s="1019"/>
      <c r="T4" s="1019"/>
      <c r="U4" s="1019"/>
      <c r="V4" s="1019"/>
      <c r="W4" s="1019"/>
      <c r="X4" s="1019"/>
      <c r="Y4" s="1019"/>
      <c r="Z4" s="1019"/>
      <c r="AA4" s="1019"/>
      <c r="AB4" s="1019"/>
      <c r="AC4" s="1019"/>
      <c r="AD4" s="1019"/>
      <c r="AE4" s="1019"/>
      <c r="AF4" s="1019"/>
      <c r="AG4" s="1019"/>
      <c r="AH4" s="1019"/>
    </row>
    <row r="5" spans="2:37" ht="6.75" customHeight="1" thickBot="1"/>
    <row r="6" spans="2:37" ht="15.75" thickBot="1">
      <c r="B6" s="729" t="s">
        <v>149</v>
      </c>
      <c r="C6" s="1009" t="s">
        <v>148</v>
      </c>
      <c r="D6" s="1009"/>
      <c r="E6" s="1009"/>
      <c r="F6" s="728" t="s">
        <v>62</v>
      </c>
      <c r="G6" s="727" t="s">
        <v>63</v>
      </c>
      <c r="H6" s="728" t="s">
        <v>116</v>
      </c>
      <c r="I6" s="727" t="str">
        <f>IF($L6 = 0.25, 'Cadastro - Padrões Absorbância'!D$16, IF($L6 = 0.5, 'Cadastro - Padrões Absorbância'!D$15, 'Cadastro - Padrões Absorbância'!D$14))</f>
        <v>39343-5D</v>
      </c>
      <c r="J6" s="1011" t="s">
        <v>314</v>
      </c>
      <c r="K6" s="1011"/>
      <c r="L6" s="718">
        <v>0.25</v>
      </c>
      <c r="M6" s="1011" t="s">
        <v>162</v>
      </c>
      <c r="N6" s="1011"/>
      <c r="O6" s="253">
        <f>IF($AA6 = 1, VLOOKUP($I6,'Cadastro - Padrões Absorbância'!$D$7:$K$9,4,FALSE), IF($AA6 = 5, VLOOKUP($I6,'Cadastro - Padrões Absorbância'!$D$10:$K$12, 4,FALSE)))</f>
        <v>0.26629999999999998</v>
      </c>
      <c r="P6" s="253">
        <f>IF($AA6 = 1, VLOOKUP($I6,'Cadastro - Padrões Absorbância'!$D$7:$K$9,5,FALSE), IF($AA6 = 5, VLOOKUP($I6,'Cadastro - Padrões Absorbância'!$D$10:$K$12, 5,FALSE)))</f>
        <v>0.24030000000000001</v>
      </c>
      <c r="Q6" s="253">
        <f>IF($AA6 = 1, VLOOKUP($I6,'Cadastro - Padrões Absorbância'!$D$7:$K$9,6,FALSE), IF($AA6 = 5, VLOOKUP($I6,'Cadastro - Padrões Absorbância'!$D$10:$K$12, 6,FALSE)))</f>
        <v>0.24990000000000001</v>
      </c>
      <c r="R6" s="253">
        <f>IF($AA6 = 1, VLOOKUP($I6,'Cadastro - Padrões Absorbância'!$D$7:$K$9,7,FALSE), IF($AA6 = 5, VLOOKUP($I6,'Cadastro - Padrões Absorbância'!$D$10:$K$12, 7,FALSE)))</f>
        <v>0.29380000000000001</v>
      </c>
      <c r="S6" s="253">
        <f>IF($AA6 = 1, VLOOKUP($I6,'Cadastro - Padrões Absorbância'!$D$7:$K$9,8,FALSE), IF($AA6 = 5, VLOOKUP($I6,'Cadastro - Padrões Absorbância'!$D$10:$K$12, 8,FALSE)))</f>
        <v>0.30159999999999998</v>
      </c>
      <c r="T6" s="1017" t="s">
        <v>436</v>
      </c>
      <c r="U6" s="1010"/>
      <c r="V6" s="271" t="s">
        <v>176</v>
      </c>
      <c r="W6" s="1010" t="str">
        <f>CONCATENATE(L6, " A", " – ",I6)</f>
        <v>0,25 A – 39343-5D</v>
      </c>
      <c r="X6" s="1015"/>
      <c r="Y6" s="1016" t="s">
        <v>164</v>
      </c>
      <c r="Z6" s="1011"/>
      <c r="AA6" s="717">
        <f>'Registro Tratado'!$H$44</f>
        <v>1</v>
      </c>
      <c r="AB6" s="1011" t="s">
        <v>307</v>
      </c>
      <c r="AC6" s="1011"/>
      <c r="AD6" s="493">
        <f>VLOOKUP($I6,'Cadastro - Padrões Absorbância'!$D$7:$Q$12,14,FALSE)</f>
        <v>44414</v>
      </c>
      <c r="AE6" s="254"/>
      <c r="AF6" s="254"/>
      <c r="AG6" s="254"/>
      <c r="AH6" s="272"/>
    </row>
    <row r="7" spans="2:37" ht="4.5" customHeight="1" thickBot="1">
      <c r="B7" s="185"/>
      <c r="C7" s="185"/>
      <c r="D7" s="186"/>
      <c r="E7" s="186"/>
      <c r="F7" s="185"/>
      <c r="G7" s="186"/>
      <c r="H7" s="185"/>
      <c r="I7" s="186"/>
      <c r="J7" s="186"/>
      <c r="K7" s="186"/>
      <c r="L7" s="185"/>
      <c r="M7" s="185"/>
      <c r="N7" s="185"/>
      <c r="O7" s="187"/>
      <c r="P7" s="188"/>
      <c r="Q7" s="188"/>
      <c r="R7" s="189"/>
      <c r="S7" s="189"/>
      <c r="AH7" s="270"/>
    </row>
    <row r="8" spans="2:37" ht="15.75" customHeight="1" thickBot="1">
      <c r="B8" s="998" t="s">
        <v>117</v>
      </c>
      <c r="C8" s="999"/>
      <c r="D8" s="999"/>
      <c r="E8" s="999"/>
      <c r="F8" s="999"/>
      <c r="G8" s="999"/>
      <c r="H8" s="999"/>
      <c r="I8" s="999"/>
      <c r="J8" s="999"/>
      <c r="K8" s="999"/>
      <c r="L8" s="999"/>
      <c r="M8" s="999"/>
      <c r="N8" s="999"/>
      <c r="O8" s="1000"/>
      <c r="P8" s="995" t="s">
        <v>118</v>
      </c>
      <c r="Q8" s="996"/>
      <c r="R8" s="996"/>
      <c r="S8" s="997"/>
      <c r="T8" s="976" t="s">
        <v>119</v>
      </c>
      <c r="U8" s="977"/>
      <c r="V8" s="977"/>
      <c r="W8" s="977"/>
      <c r="X8" s="978"/>
      <c r="Y8" s="976" t="s">
        <v>120</v>
      </c>
      <c r="Z8" s="977"/>
      <c r="AA8" s="977"/>
      <c r="AB8" s="977"/>
      <c r="AC8" s="978"/>
      <c r="AD8" s="976" t="s">
        <v>121</v>
      </c>
      <c r="AE8" s="977"/>
      <c r="AF8" s="977"/>
      <c r="AG8" s="977"/>
      <c r="AH8" s="978"/>
    </row>
    <row r="9" spans="2:37" ht="15.75" thickBot="1">
      <c r="B9" s="190" t="s">
        <v>122</v>
      </c>
      <c r="C9" s="998" t="s">
        <v>123</v>
      </c>
      <c r="D9" s="999"/>
      <c r="E9" s="999"/>
      <c r="F9" s="1000"/>
      <c r="G9" s="176">
        <v>440</v>
      </c>
      <c r="H9" s="176">
        <v>465</v>
      </c>
      <c r="I9" s="176">
        <v>546.1</v>
      </c>
      <c r="J9" s="176">
        <v>590</v>
      </c>
      <c r="K9" s="177">
        <v>635</v>
      </c>
      <c r="L9" s="726" t="s">
        <v>124</v>
      </c>
      <c r="M9" s="192" t="s">
        <v>125</v>
      </c>
      <c r="N9" s="193" t="s">
        <v>126</v>
      </c>
      <c r="O9" s="192" t="s">
        <v>127</v>
      </c>
      <c r="P9" s="194" t="s">
        <v>128</v>
      </c>
      <c r="Q9" s="1001" t="s">
        <v>124</v>
      </c>
      <c r="R9" s="1002"/>
      <c r="S9" s="1003"/>
      <c r="T9" s="257" t="s">
        <v>166</v>
      </c>
      <c r="U9" s="258" t="s">
        <v>167</v>
      </c>
      <c r="V9" s="258" t="s">
        <v>168</v>
      </c>
      <c r="W9" s="258" t="s">
        <v>169</v>
      </c>
      <c r="X9" s="259" t="s">
        <v>170</v>
      </c>
      <c r="Y9" s="257" t="s">
        <v>166</v>
      </c>
      <c r="Z9" s="258" t="s">
        <v>167</v>
      </c>
      <c r="AA9" s="258" t="s">
        <v>168</v>
      </c>
      <c r="AB9" s="258" t="s">
        <v>169</v>
      </c>
      <c r="AC9" s="259" t="s">
        <v>170</v>
      </c>
      <c r="AD9" s="257" t="s">
        <v>166</v>
      </c>
      <c r="AE9" s="258" t="s">
        <v>167</v>
      </c>
      <c r="AF9" s="258" t="s">
        <v>168</v>
      </c>
      <c r="AG9" s="258" t="s">
        <v>169</v>
      </c>
      <c r="AH9" s="259" t="s">
        <v>170</v>
      </c>
      <c r="AJ9" s="29" t="s">
        <v>313</v>
      </c>
      <c r="AK9" s="29" t="s">
        <v>315</v>
      </c>
    </row>
    <row r="10" spans="2:37">
      <c r="B10" s="205" t="s">
        <v>139</v>
      </c>
      <c r="C10" s="982" t="s">
        <v>165</v>
      </c>
      <c r="D10" s="992"/>
      <c r="E10" s="992"/>
      <c r="F10" s="984"/>
      <c r="G10" s="513">
        <f>IF($AA6 = 1, VLOOKUP($I6,'Cadastro - Padrões Absorbância'!$D$7:$P$9,9,FALSE), IF($AA6 = 5, VLOOKUP($I6,'Cadastro - Padrões Absorbância'!$D$10:$P$12, 9,FALSE)))</f>
        <v>4.0000000000000001E-3</v>
      </c>
      <c r="H10" s="513">
        <f>IF($AA6 = 1, VLOOKUP($I6,'Cadastro - Padrões Absorbância'!$D$7:$P$9,10,FALSE), IF($AA6 = 5, VLOOKUP($I6,'Cadastro - Padrões Absorbância'!$D$10:$P$12, 10,FALSE)))</f>
        <v>4.0000000000000001E-3</v>
      </c>
      <c r="I10" s="513">
        <f>IF($AA6 = 1, VLOOKUP($I6,'Cadastro - Padrões Absorbância'!$D$7:$P$9,11,FALSE), IF($AA6 = 5, VLOOKUP($I6,'Cadastro - Padrões Absorbância'!$D$10:$P$12, 11,FALSE)))</f>
        <v>4.0000000000000001E-3</v>
      </c>
      <c r="J10" s="513">
        <f>IF($AA6 = 1, VLOOKUP($I6,'Cadastro - Padrões Absorbância'!$D$7:$P$9,12,FALSE), IF($AA6 = 5, VLOOKUP($I6,'Cadastro - Padrões Absorbância'!$D$10:$P$12, 12,FALSE)))</f>
        <v>4.0000000000000001E-3</v>
      </c>
      <c r="K10" s="513">
        <f>IF($AA6 = 1, VLOOKUP($I6,'Cadastro - Padrões Absorbância'!$D$7:$P$9,13,FALSE), IF($AA6 = 5, VLOOKUP($I6,'Cadastro - Padrões Absorbância'!$D$10:$P$12, 13,FALSE)))</f>
        <v>4.0000000000000001E-3</v>
      </c>
      <c r="L10" s="198" t="s">
        <v>59</v>
      </c>
      <c r="M10" s="196" t="s">
        <v>136</v>
      </c>
      <c r="N10" s="196" t="s">
        <v>132</v>
      </c>
      <c r="O10" s="198">
        <v>2</v>
      </c>
      <c r="P10" s="196">
        <v>1</v>
      </c>
      <c r="Q10" s="196" t="s">
        <v>130</v>
      </c>
      <c r="R10" s="196" t="s">
        <v>133</v>
      </c>
      <c r="S10" s="198" t="s">
        <v>130</v>
      </c>
      <c r="T10" s="525">
        <f>IF(ISNUMBER(G10),G10/$O$10,"")</f>
        <v>2E-3</v>
      </c>
      <c r="U10" s="526">
        <f>IF(ISNUMBER(H10),H10/$O$10,"")</f>
        <v>2E-3</v>
      </c>
      <c r="V10" s="526">
        <f>IF(ISNUMBER(I10),I10/$O$10,"")</f>
        <v>2E-3</v>
      </c>
      <c r="W10" s="526">
        <f>IF(ISNUMBER(J10),J10/$O$10,"")</f>
        <v>2E-3</v>
      </c>
      <c r="X10" s="527">
        <f>IF(ISNUMBER(K10),K10/$O$10,"")</f>
        <v>2E-3</v>
      </c>
      <c r="Y10" s="207" t="s">
        <v>138</v>
      </c>
      <c r="Z10" s="207" t="s">
        <v>138</v>
      </c>
      <c r="AA10" s="207" t="s">
        <v>138</v>
      </c>
      <c r="AB10" s="207" t="s">
        <v>138</v>
      </c>
      <c r="AC10" s="269" t="s">
        <v>138</v>
      </c>
      <c r="AD10" s="708">
        <f ca="1">IF(ISNUMBER(T10),IF(ISNUMBER(T$15),(T10^2)/(T$15^2),""),"")</f>
        <v>0.95388053316403509</v>
      </c>
      <c r="AE10" s="709">
        <f t="shared" ref="AE10:AH13" ca="1" si="0">IF(ISNUMBER(U10),IF(ISNUMBER(U$15),(U10^2)/(U$15^2),""),"")</f>
        <v>0.95390050788139791</v>
      </c>
      <c r="AF10" s="709">
        <f t="shared" ca="1" si="0"/>
        <v>0.9540321269333174</v>
      </c>
      <c r="AG10" s="709">
        <f t="shared" ca="1" si="0"/>
        <v>0.9540791425404257</v>
      </c>
      <c r="AH10" s="710">
        <f t="shared" ca="1" si="0"/>
        <v>0.95406856362480896</v>
      </c>
      <c r="AJ10" s="730">
        <v>1</v>
      </c>
      <c r="AK10" s="730">
        <v>0.25</v>
      </c>
    </row>
    <row r="11" spans="2:37">
      <c r="B11" s="268" t="s">
        <v>140</v>
      </c>
      <c r="C11" s="1012" t="s">
        <v>177</v>
      </c>
      <c r="D11" s="1013"/>
      <c r="E11" s="1013"/>
      <c r="F11" s="1014"/>
      <c r="G11" s="517">
        <f ca="1">IF($AD6 = "", G10, ABS((((YEAR(TODAY())-YEAR($AD6))*12 + MONTH(TODAY()) - MONTH($AD6)))*VLOOKUP($L$6,'Cadastro - Padrões Absorbância'!$F$41:$P$43,7,FALSE)))</f>
        <v>1.1818181818181779E-4</v>
      </c>
      <c r="H11" s="517">
        <f ca="1">IF($AD6 = "", H10, ABS((((YEAR(TODAY())-YEAR($AD6))*12 - MONTH($AD6) + MONTH(TODAY())))*VLOOKUP($L$6,'Cadastro - Padrões Absorbância'!$F$41:$P$43,8,FALSE)))</f>
        <v>1.1363636363636247E-4</v>
      </c>
      <c r="I11" s="517">
        <f ca="1">IF($AD6 = "", I10, ABS((((YEAR(TODAY())-YEAR($AD6))*12 - MONTH($AD6) + MONTH(TODAY())))*VLOOKUP($L$6,'Cadastro - Padrões Absorbância'!$F$41:$P$43,9,FALSE)))</f>
        <v>7.7272727272726337E-5</v>
      </c>
      <c r="J11" s="517">
        <f ca="1">IF($AD6 = "", J10, ABS((((YEAR(TODAY())-YEAR($AD6))*12 - MONTH($AD6) + MONTH(TODAY())))*VLOOKUP($L$6,'Cadastro - Padrões Absorbância'!$F$41:$P$43,10,FALSE)))</f>
        <v>5.9090909090907626E-5</v>
      </c>
      <c r="K11" s="517">
        <f ca="1">IF($AD6 = "", K10, ABS((((YEAR(TODAY())-YEAR($AD6))*12 - MONTH($AD6) + MONTH(TODAY())))*VLOOKUP($L$6,'Cadastro - Padrões Absorbância'!$F$41:$P$43,11,FALSE)))</f>
        <v>6.3636363636364196E-5</v>
      </c>
      <c r="L11" s="198" t="s">
        <v>59</v>
      </c>
      <c r="M11" s="256" t="s">
        <v>136</v>
      </c>
      <c r="N11" s="256" t="s">
        <v>137</v>
      </c>
      <c r="O11" s="198">
        <f>SQRT(12)</f>
        <v>3.4641016151377544</v>
      </c>
      <c r="P11" s="256">
        <v>1</v>
      </c>
      <c r="Q11" s="256" t="s">
        <v>130</v>
      </c>
      <c r="R11" s="256" t="s">
        <v>133</v>
      </c>
      <c r="S11" s="198" t="s">
        <v>130</v>
      </c>
      <c r="T11" s="206">
        <f ca="1">IF(ISNUMBER(G11),G11/$O$11,"")</f>
        <v>3.4116152270295958E-5</v>
      </c>
      <c r="U11" s="256">
        <f ca="1">IF(ISNUMBER(H11),H11/$O$11,"")</f>
        <v>3.2803992567592039E-5</v>
      </c>
      <c r="V11" s="256">
        <f ca="1">IF(ISNUMBER(I11),I11/$O$11,"")</f>
        <v>2.2306714945962546E-5</v>
      </c>
      <c r="W11" s="256">
        <f ca="1">IF(ISNUMBER(J11),J11/$O$11,"")</f>
        <v>1.7058076135147613E-5</v>
      </c>
      <c r="X11" s="198">
        <f ca="1">IF(ISNUMBER(K11),K11/$O$11,"")</f>
        <v>1.8370235837851891E-5</v>
      </c>
      <c r="Y11" s="269" t="s">
        <v>138</v>
      </c>
      <c r="Z11" s="269" t="s">
        <v>138</v>
      </c>
      <c r="AA11" s="269" t="s">
        <v>138</v>
      </c>
      <c r="AB11" s="269" t="s">
        <v>138</v>
      </c>
      <c r="AC11" s="269" t="s">
        <v>138</v>
      </c>
      <c r="AD11" s="711">
        <f ca="1">IF(ISNUMBER(T11),IF(ISNUMBER(T$15),(T11^2)/(T$15^2),""),"")</f>
        <v>2.7755821299022188E-4</v>
      </c>
      <c r="AE11" s="712">
        <f t="shared" ca="1" si="0"/>
        <v>2.5662354400217868E-4</v>
      </c>
      <c r="AF11" s="712">
        <f t="shared" ca="1" si="0"/>
        <v>1.1867909981220821E-4</v>
      </c>
      <c r="AG11" s="712">
        <f t="shared" ca="1" si="0"/>
        <v>6.9404000985418386E-5</v>
      </c>
      <c r="AH11" s="713">
        <f t="shared" ca="1" si="0"/>
        <v>8.0491321655675726E-5</v>
      </c>
      <c r="AJ11" s="730">
        <v>5</v>
      </c>
      <c r="AK11" s="730">
        <v>0.5</v>
      </c>
    </row>
    <row r="12" spans="2:37">
      <c r="B12" s="267" t="s">
        <v>129</v>
      </c>
      <c r="C12" s="982" t="s">
        <v>175</v>
      </c>
      <c r="D12" s="983"/>
      <c r="E12" s="983"/>
      <c r="F12" s="984"/>
      <c r="G12" s="196">
        <f>0.00033</f>
        <v>3.3E-4</v>
      </c>
      <c r="H12" s="196">
        <f t="shared" ref="H12:K12" si="1">0.00033</f>
        <v>3.3E-4</v>
      </c>
      <c r="I12" s="196">
        <f t="shared" si="1"/>
        <v>3.3E-4</v>
      </c>
      <c r="J12" s="196">
        <f t="shared" si="1"/>
        <v>3.3E-4</v>
      </c>
      <c r="K12" s="196">
        <f t="shared" si="1"/>
        <v>3.3E-4</v>
      </c>
      <c r="L12" s="198" t="s">
        <v>59</v>
      </c>
      <c r="M12" s="196" t="s">
        <v>131</v>
      </c>
      <c r="N12" s="196" t="s">
        <v>132</v>
      </c>
      <c r="O12" s="198">
        <f xml:space="preserve"> 1</f>
        <v>1</v>
      </c>
      <c r="P12" s="196">
        <v>1</v>
      </c>
      <c r="Q12" s="256" t="s">
        <v>130</v>
      </c>
      <c r="R12" s="256" t="s">
        <v>133</v>
      </c>
      <c r="S12" s="198" t="s">
        <v>130</v>
      </c>
      <c r="T12" s="206">
        <f>IF(ISNUMBER(G12),G12/$O$12,"")</f>
        <v>3.3E-4</v>
      </c>
      <c r="U12" s="256">
        <f>IF(ISNUMBER(H12),H12/$O$12,"")</f>
        <v>3.3E-4</v>
      </c>
      <c r="V12" s="256">
        <f>IF(ISNUMBER(I12),I12/$O$12,"")</f>
        <v>3.3E-4</v>
      </c>
      <c r="W12" s="256">
        <f>IF(ISNUMBER(J12),J12/$O$12,"")</f>
        <v>3.3E-4</v>
      </c>
      <c r="X12" s="198">
        <f>IF(ISNUMBER(K12),K12/$O$12,"")</f>
        <v>3.3E-4</v>
      </c>
      <c r="Y12" s="201">
        <f>VLOOKUP($I6,'Registro Tratado'!$F$362:$R$400, 9, FALSE) - 1</f>
        <v>3</v>
      </c>
      <c r="Z12" s="201">
        <f>VLOOKUP($I6,'Registro Tratado'!$F$362:$R$400, 10, FALSE) - 1</f>
        <v>3</v>
      </c>
      <c r="AA12" s="201">
        <f>VLOOKUP($I6,'Registro Tratado'!$F$362:$R$400, 11, FALSE) - 1</f>
        <v>3</v>
      </c>
      <c r="AB12" s="201">
        <f>VLOOKUP($I6,'Registro Tratado'!$F$362:$R$400, 12, FALSE) - 1</f>
        <v>3</v>
      </c>
      <c r="AC12" s="201">
        <f>VLOOKUP($I6,'Registro Tratado'!$F$362:$R$400, 13, FALSE) - 1</f>
        <v>3</v>
      </c>
      <c r="AD12" s="711">
        <f ca="1">IF(ISNUMBER(T12),IF(ISNUMBER(T$15),(T12^2)/(T$15^2),""),"")</f>
        <v>2.5969397515390857E-2</v>
      </c>
      <c r="AE12" s="712">
        <f ca="1">IF(ISNUMBER(U12),IF(ISNUMBER(U$15),(U12^2)/(U$15^2),""),"")</f>
        <v>2.5969941327071061E-2</v>
      </c>
      <c r="AF12" s="712">
        <f ca="1">IF(ISNUMBER(V12),IF(ISNUMBER(V$15),(V12^2)/(V$15^2),""),"")</f>
        <v>2.5973524655759569E-2</v>
      </c>
      <c r="AG12" s="712">
        <f t="shared" ca="1" si="0"/>
        <v>2.5974804655663094E-2</v>
      </c>
      <c r="AH12" s="713">
        <f t="shared" ca="1" si="0"/>
        <v>2.5974516644685426E-2</v>
      </c>
      <c r="AJ12" s="730"/>
      <c r="AK12" s="730">
        <v>1</v>
      </c>
    </row>
    <row r="13" spans="2:37" ht="15.75" thickBot="1">
      <c r="B13" s="205" t="s">
        <v>134</v>
      </c>
      <c r="C13" s="973" t="s">
        <v>135</v>
      </c>
      <c r="D13" s="974"/>
      <c r="E13" s="974"/>
      <c r="F13" s="975"/>
      <c r="G13" s="213">
        <f>IF(ISNUMBER('Registro Original'!$G$46),'Registro Original'!$G$46,"")</f>
        <v>1E-3</v>
      </c>
      <c r="H13" s="213">
        <f>IF(ISNUMBER('Registro Original'!$G$46),'Registro Original'!$G$46,"")</f>
        <v>1E-3</v>
      </c>
      <c r="I13" s="213">
        <f>IF(ISNUMBER('Registro Original'!$G$46),'Registro Original'!$G$46,"")</f>
        <v>1E-3</v>
      </c>
      <c r="J13" s="213">
        <f>IF(ISNUMBER('Registro Original'!$G$46),'Registro Original'!$G$46,"")</f>
        <v>1E-3</v>
      </c>
      <c r="K13" s="213">
        <f>IF(ISNUMBER('Registro Original'!$G$46),'Registro Original'!$G$46,"")</f>
        <v>1E-3</v>
      </c>
      <c r="L13" s="212" t="s">
        <v>59</v>
      </c>
      <c r="M13" s="213" t="s">
        <v>136</v>
      </c>
      <c r="N13" s="213" t="s">
        <v>137</v>
      </c>
      <c r="O13" s="212">
        <f>SQRT(12)</f>
        <v>3.4641016151377544</v>
      </c>
      <c r="P13" s="213">
        <v>1</v>
      </c>
      <c r="Q13" s="213" t="s">
        <v>130</v>
      </c>
      <c r="R13" s="213" t="s">
        <v>133</v>
      </c>
      <c r="S13" s="212" t="s">
        <v>130</v>
      </c>
      <c r="T13" s="214">
        <f>IF(ISNUMBER(G13),G13/$O$13,"")</f>
        <v>2.886751345948129E-4</v>
      </c>
      <c r="U13" s="213">
        <f>IF(ISNUMBER(H13),H13/$O$13,"")</f>
        <v>2.886751345948129E-4</v>
      </c>
      <c r="V13" s="213">
        <f>IF(ISNUMBER(I13),I13/$O$13,"")</f>
        <v>2.886751345948129E-4</v>
      </c>
      <c r="W13" s="213">
        <f>IF(ISNUMBER(J13),J13/$O$13,"")</f>
        <v>2.886751345948129E-4</v>
      </c>
      <c r="X13" s="212">
        <f>IF(ISNUMBER(K13),K13/$O$13,"")</f>
        <v>2.886751345948129E-4</v>
      </c>
      <c r="Y13" s="207" t="s">
        <v>138</v>
      </c>
      <c r="Z13" s="207" t="s">
        <v>138</v>
      </c>
      <c r="AA13" s="207" t="s">
        <v>138</v>
      </c>
      <c r="AB13" s="207" t="s">
        <v>138</v>
      </c>
      <c r="AC13" s="269" t="s">
        <v>138</v>
      </c>
      <c r="AD13" s="714">
        <f ca="1">IF(ISNUMBER(T13),IF(ISNUMBER(T$15),(T13^2)/(T$15^2),""),"")</f>
        <v>1.9872511107584066E-2</v>
      </c>
      <c r="AE13" s="715">
        <f t="shared" ca="1" si="0"/>
        <v>1.9872927247529124E-2</v>
      </c>
      <c r="AF13" s="715">
        <f t="shared" ca="1" si="0"/>
        <v>1.9875669311110782E-2</v>
      </c>
      <c r="AG13" s="715">
        <f t="shared" ca="1" si="0"/>
        <v>1.9876648802925539E-2</v>
      </c>
      <c r="AH13" s="716">
        <f t="shared" ca="1" si="0"/>
        <v>1.9876428408850188E-2</v>
      </c>
    </row>
    <row r="14" spans="2:37" ht="15.75" thickBot="1">
      <c r="B14" s="218"/>
      <c r="C14" s="219"/>
      <c r="D14" s="219"/>
      <c r="E14" s="219"/>
      <c r="F14" s="219"/>
      <c r="G14" s="196"/>
      <c r="H14" s="196"/>
      <c r="I14" s="196"/>
      <c r="J14" s="196"/>
      <c r="K14" s="196"/>
      <c r="L14" s="196"/>
      <c r="M14" s="196"/>
      <c r="N14" s="196"/>
      <c r="O14" s="196"/>
      <c r="P14" s="196"/>
      <c r="Q14" s="196"/>
      <c r="R14" s="196"/>
      <c r="S14" s="196"/>
      <c r="T14" s="196"/>
      <c r="U14" s="196"/>
      <c r="V14" s="196"/>
      <c r="W14" s="196"/>
      <c r="X14" s="530" t="s">
        <v>321</v>
      </c>
      <c r="Y14" s="976" t="s">
        <v>141</v>
      </c>
      <c r="Z14" s="977"/>
      <c r="AA14" s="977"/>
      <c r="AB14" s="977"/>
      <c r="AC14" s="978"/>
      <c r="AD14" s="196"/>
      <c r="AE14" s="196"/>
      <c r="AF14" s="196"/>
      <c r="AG14" s="196"/>
      <c r="AH14" s="196"/>
    </row>
    <row r="15" spans="2:37" ht="15.75" thickBot="1">
      <c r="B15" s="195" t="s">
        <v>142</v>
      </c>
      <c r="C15" s="993" t="s">
        <v>143</v>
      </c>
      <c r="D15" s="993"/>
      <c r="E15" s="993"/>
      <c r="F15" s="993"/>
      <c r="G15" s="993"/>
      <c r="H15" s="993"/>
      <c r="I15" s="993"/>
      <c r="J15" s="993"/>
      <c r="K15" s="993"/>
      <c r="L15" s="993"/>
      <c r="M15" s="993"/>
      <c r="N15" s="993"/>
      <c r="O15" s="993"/>
      <c r="P15" s="993"/>
      <c r="Q15" s="993"/>
      <c r="R15" s="994"/>
      <c r="S15" s="220" t="s">
        <v>130</v>
      </c>
      <c r="T15" s="221">
        <f ca="1" xml:space="preserve"> IF(ISNUMBER(T12),SQRT(SUMSQ($P10*T10, $P11*T11, $P12*T12, $P13*T13)),"")</f>
        <v>2.0477786123453538E-3</v>
      </c>
      <c r="U15" s="222">
        <f ca="1" xml:space="preserve"> IF(ISNUMBER(U12),SQRT(SUMSQ($P10*U10, $P11*U11, $P12*U12, $P13*U13)),"")</f>
        <v>2.0477571719473252E-3</v>
      </c>
      <c r="V15" s="222">
        <f ca="1" xml:space="preserve"> IF(ISNUMBER(V12),SQRT(SUMSQ($P10*V10, $P11*V11, $P12*V12, $P13*V13)),"")</f>
        <v>2.0476159119485796E-3</v>
      </c>
      <c r="W15" s="222">
        <f ca="1" xml:space="preserve"> IF(ISNUMBER(W12),SQRT(SUMSQ($P10*W10, $P11*W11, $P12*W12, $P13*W13)),"")</f>
        <v>2.0475654595872549E-3</v>
      </c>
      <c r="X15" s="223">
        <f ca="1" xml:space="preserve"> IF(ISNUMBER(X12),SQRT(SUMSQ($P10*X10, $P11*X11, $P12*X12, $P13*X13)),"")</f>
        <v>2.0475768114769396E-3</v>
      </c>
      <c r="Y15" s="531">
        <f ca="1">IF(Y12="","",IF(T12 = 0, "∞", IF((T15^4)/((T12^4)/Y12) &gt; 1000000, "∞", (T15^4)/((T12^4)/Y12))))</f>
        <v>4448.3352067824117</v>
      </c>
      <c r="Z15" s="532">
        <f ca="1">IF(Z12="","",IF(U12 = 0, "", IF((U15^4)/((U12^4)/Z12) &gt; 1000000, "∞", (U15^4)/((U12^4)/Z12))))</f>
        <v>4448.1489120746292</v>
      </c>
      <c r="AA15" s="532">
        <f ca="1">IF(AA12="","",IF(V12 = 0, "∞", IF((V15^4)/((V12^4)/AA12) &gt; 1000000, "∞", (V15^4)/((V12^4)/AA12))))</f>
        <v>4446.921656218713</v>
      </c>
      <c r="AB15" s="532">
        <f ca="1">IF(AB12="","",IF(W12 = 0, "∞", IF((W15^4)/((W12^4)/AB12) &gt; 1000000, "∞", (W15^4)/((W12^4)/AB12))))</f>
        <v>4446.4833915912577</v>
      </c>
      <c r="AC15" s="533">
        <f ca="1">IF(AC12="","",IF(V12 = 0, "∞", IF((V15^4)/((V12^4)/AC12) &gt; 1000000, "∞", (V15^4)/((V12^4)/AC12))))</f>
        <v>4446.921656218713</v>
      </c>
      <c r="AD15" s="218"/>
      <c r="AE15" s="218"/>
      <c r="AF15" s="218"/>
      <c r="AG15" s="218"/>
      <c r="AH15" s="218"/>
    </row>
    <row r="16" spans="2:37">
      <c r="B16" s="205" t="s">
        <v>144</v>
      </c>
      <c r="C16" s="985" t="s">
        <v>467</v>
      </c>
      <c r="D16" s="985"/>
      <c r="E16" s="985"/>
      <c r="F16" s="985"/>
      <c r="G16" s="985"/>
      <c r="H16" s="985"/>
      <c r="I16" s="985"/>
      <c r="J16" s="985"/>
      <c r="K16" s="985"/>
      <c r="L16" s="985"/>
      <c r="M16" s="985"/>
      <c r="N16" s="985"/>
      <c r="O16" s="985"/>
      <c r="P16" s="985"/>
      <c r="Q16" s="985"/>
      <c r="R16" s="986"/>
      <c r="S16" s="224" t="s">
        <v>130</v>
      </c>
      <c r="T16" s="225">
        <f ca="1">IF(ISNUMBER(Y17),T15*Y17,"")</f>
        <v>4.0967135046648395E-3</v>
      </c>
      <c r="U16" s="226">
        <f ca="1">IF(ISNUMBER(Z17),U15*Z17,"")</f>
        <v>4.096670611762443E-3</v>
      </c>
      <c r="V16" s="226">
        <f ca="1">IF(ISNUMBER(AA17),V15*AA17,"")</f>
        <v>4.0963885299966276E-3</v>
      </c>
      <c r="W16" s="226">
        <f ca="1">IF(ISNUMBER(AB17),W15*AB17,"")</f>
        <v>4.0962875967732459E-3</v>
      </c>
      <c r="X16" s="226">
        <f ca="1">IF(ISNUMBER(AC17),X15*AC17,"")</f>
        <v>4.0963103069653409E-3</v>
      </c>
      <c r="Y16" s="976" t="s">
        <v>146</v>
      </c>
      <c r="Z16" s="977"/>
      <c r="AA16" s="977"/>
      <c r="AB16" s="977"/>
      <c r="AC16" s="978"/>
      <c r="AD16" s="218"/>
      <c r="AE16" s="218"/>
      <c r="AF16" s="218"/>
      <c r="AG16" s="218"/>
      <c r="AH16" s="218"/>
    </row>
    <row r="17" spans="2:34" ht="15.75" thickBot="1">
      <c r="B17" s="211" t="s">
        <v>144</v>
      </c>
      <c r="C17" s="987" t="s">
        <v>147</v>
      </c>
      <c r="D17" s="987"/>
      <c r="E17" s="987"/>
      <c r="F17" s="987"/>
      <c r="G17" s="987"/>
      <c r="H17" s="987"/>
      <c r="I17" s="987"/>
      <c r="J17" s="987"/>
      <c r="K17" s="987"/>
      <c r="L17" s="987"/>
      <c r="M17" s="987"/>
      <c r="N17" s="987"/>
      <c r="O17" s="987"/>
      <c r="P17" s="987"/>
      <c r="Q17" s="987"/>
      <c r="R17" s="988"/>
      <c r="S17" s="227" t="s">
        <v>130</v>
      </c>
      <c r="T17" s="524">
        <f ca="1">IF(ISNUMBER(T16), IF(((T16-ROUNDDOWN(T16,2))/T16)*100 &gt; 5,ROUNDUP(T16,2), ROUNDDOWN(T16,2)),"")</f>
        <v>0.01</v>
      </c>
      <c r="U17" s="518">
        <f ca="1">IF(ISNUMBER(U16), IF(((U16-ROUNDDOWN(U16,2))/U16)*100 &gt; 5,ROUNDUP(U16,2), ROUNDDOWN(U16,2)),"")</f>
        <v>0.01</v>
      </c>
      <c r="V17" s="518">
        <f ca="1">IF(ISNUMBER(V16), IF(((V16-ROUNDDOWN(V16,2))/V16)*100 &gt; 5,ROUNDUP(V16,2), ROUNDDOWN(V16,2)),"")</f>
        <v>0.01</v>
      </c>
      <c r="W17" s="518">
        <f ca="1">IF(ISNUMBER(W16), IF(((W16-ROUNDDOWN(W16,2))/W16)*100 &gt; 5,ROUNDUP(W16,2), ROUNDDOWN(W16,2)),"")</f>
        <v>0.01</v>
      </c>
      <c r="X17" s="518">
        <f ca="1">IF(ISNUMBER(X16), IF(((X16-ROUNDDOWN(X16,2))/X16)*100 &gt; 5,ROUNDUP(X16,2), ROUNDDOWN(X16,2)),"")</f>
        <v>0.01</v>
      </c>
      <c r="Y17" s="480">
        <f ca="1">IF(Y15 ="∞", 2, IF(ISNUMBER(Y15), IF(Y15 &gt; 1000000, 2,_xlfn.T.INV.2T(1-0.9545,Y15))))</f>
        <v>2.0005646508695625</v>
      </c>
      <c r="Z17" s="481">
        <f ca="1">IF(Z15 ="∞", 2, IF(ISNUMBER(Z15), IF(Z15 &gt; 1000000, 2,_xlfn.T.INV.2T(1-0.9545,Z15))))</f>
        <v>2.0005646508695625</v>
      </c>
      <c r="AA17" s="481">
        <f ca="1">IF(AA15 ="∞", 2, IF(ISNUMBER(AA15), IF(AA15 &gt; 1000000, 2,_xlfn.T.INV.2T(1-0.9545,AA15))))</f>
        <v>2.0005649038438893</v>
      </c>
      <c r="AB17" s="481">
        <f ca="1">IF(AB15 ="∞", 2, IF(ISNUMBER(AB15), IF(AB15 &gt; 1000000, 2,_xlfn.T.INV.2T(1-0.9545,AB15))))</f>
        <v>2.0005649038438893</v>
      </c>
      <c r="AC17" s="482">
        <f ca="1">IF(AC15 ="∞", 2, IF(ISNUMBER(AC15), IF(AC15 &gt; 1000000, 2,_xlfn.T.INV.2T(1-0.9545,AC15))))</f>
        <v>2.0005649038438893</v>
      </c>
      <c r="AD17" s="218"/>
      <c r="AE17" s="218"/>
      <c r="AF17" s="218"/>
      <c r="AG17" s="218"/>
      <c r="AH17" s="218"/>
    </row>
    <row r="18" spans="2:34" ht="15.75" thickBot="1">
      <c r="B18" s="228"/>
      <c r="C18" s="228"/>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row>
    <row r="19" spans="2:34" ht="15.75" thickBot="1">
      <c r="B19" s="729" t="s">
        <v>149</v>
      </c>
      <c r="C19" s="1009" t="s">
        <v>148</v>
      </c>
      <c r="D19" s="1009"/>
      <c r="E19" s="1009"/>
      <c r="F19" s="728" t="s">
        <v>62</v>
      </c>
      <c r="G19" s="727" t="s">
        <v>63</v>
      </c>
      <c r="H19" s="728" t="s">
        <v>116</v>
      </c>
      <c r="I19" s="727" t="str">
        <f>IF($L19 = 0.25, 'Cadastro - Padrões Absorbância'!D$16, IF($L19 = 0.5, 'Cadastro - Padrões Absorbância'!D$15, 'Cadastro - Padrões Absorbância'!D$14))</f>
        <v>44602-3N</v>
      </c>
      <c r="J19" s="1011" t="s">
        <v>314</v>
      </c>
      <c r="K19" s="1011"/>
      <c r="L19" s="718">
        <v>0.5</v>
      </c>
      <c r="M19" s="1011" t="s">
        <v>162</v>
      </c>
      <c r="N19" s="1011"/>
      <c r="O19" s="253">
        <f>IF($AA19 = 1, VLOOKUP($I19,'Cadastro - Padrões Absorbância'!$D$7:$K$9,4,FALSE), IF($AA19 = 5, VLOOKUP($I19,'Cadastro - Padrões Absorbância'!$D$10:$K$12, 4,FALSE)))</f>
        <v>0.55200000000000005</v>
      </c>
      <c r="P19" s="253">
        <f>IF($AA19 = 1, VLOOKUP($I19,'Cadastro - Padrões Absorbância'!$D$7:$K$9,5,FALSE), IF($AA19 = 5, VLOOKUP($I19,'Cadastro - Padrões Absorbância'!$D$10:$K$12, 5,FALSE)))</f>
        <v>0.51339999999999997</v>
      </c>
      <c r="Q19" s="253">
        <f>IF($AA19 = 1, VLOOKUP($I19,'Cadastro - Padrões Absorbância'!$D$7:$K$9,6,FALSE), IF($AA19 = 5, VLOOKUP($I19,'Cadastro - Padrões Absorbância'!$D$10:$K$12, 6,FALSE)))</f>
        <v>0.51170000000000004</v>
      </c>
      <c r="R19" s="253">
        <f>IF($AA19 = 1, VLOOKUP($I19,'Cadastro - Padrões Absorbância'!$D$7:$K$9,7,FALSE), IF($AA19 = 5, VLOOKUP($I19,'Cadastro - Padrões Absorbância'!$D$10:$K$12, 7,FALSE)))</f>
        <v>0.54500000000000004</v>
      </c>
      <c r="S19" s="253">
        <f>IF($AA19 = 1, VLOOKUP($I19,'Cadastro - Padrões Absorbância'!$D$7:$K$9,8,FALSE), IF($AA19 = 5, VLOOKUP($I19,'Cadastro - Padrões Absorbância'!$D$10:$K$12, 8,FALSE)))</f>
        <v>0.55230000000000001</v>
      </c>
      <c r="T19" s="1017" t="s">
        <v>437</v>
      </c>
      <c r="U19" s="1010"/>
      <c r="V19" s="271" t="s">
        <v>176</v>
      </c>
      <c r="W19" s="1010" t="str">
        <f>CONCATENATE(L19, " A", " – ",I19)</f>
        <v>0,5 A – 44602-3N</v>
      </c>
      <c r="X19" s="1015"/>
      <c r="Y19" s="1016" t="s">
        <v>164</v>
      </c>
      <c r="Z19" s="1011"/>
      <c r="AA19" s="717">
        <f>'Registro Tratado'!$H$44</f>
        <v>1</v>
      </c>
      <c r="AB19" s="1011" t="s">
        <v>307</v>
      </c>
      <c r="AC19" s="1011"/>
      <c r="AD19" s="493">
        <f>VLOOKUP($I19,'Cadastro - Padrões Absorbância'!$D$7:$Q$12,14,FALSE)</f>
        <v>44414</v>
      </c>
      <c r="AE19" s="254"/>
      <c r="AF19" s="254"/>
      <c r="AG19" s="254"/>
      <c r="AH19" s="272"/>
    </row>
    <row r="20" spans="2:34" ht="4.5" customHeight="1" thickBot="1">
      <c r="B20" s="185"/>
      <c r="C20" s="185"/>
      <c r="D20" s="186"/>
      <c r="E20" s="186"/>
      <c r="F20" s="185"/>
      <c r="G20" s="186"/>
      <c r="H20" s="185"/>
      <c r="I20" s="186"/>
      <c r="J20" s="186"/>
      <c r="K20" s="186"/>
      <c r="L20" s="185"/>
      <c r="M20" s="185"/>
      <c r="N20" s="185"/>
      <c r="O20" s="187"/>
      <c r="P20" s="188"/>
      <c r="Q20" s="188"/>
      <c r="R20" s="189"/>
      <c r="S20" s="189"/>
      <c r="AH20" s="270"/>
    </row>
    <row r="21" spans="2:34" ht="15.75" customHeight="1" thickBot="1">
      <c r="B21" s="998" t="s">
        <v>117</v>
      </c>
      <c r="C21" s="999"/>
      <c r="D21" s="999"/>
      <c r="E21" s="999"/>
      <c r="F21" s="999"/>
      <c r="G21" s="999"/>
      <c r="H21" s="999"/>
      <c r="I21" s="999"/>
      <c r="J21" s="999"/>
      <c r="K21" s="999"/>
      <c r="L21" s="999"/>
      <c r="M21" s="999"/>
      <c r="N21" s="999"/>
      <c r="O21" s="1000"/>
      <c r="P21" s="995" t="s">
        <v>118</v>
      </c>
      <c r="Q21" s="996"/>
      <c r="R21" s="996"/>
      <c r="S21" s="997"/>
      <c r="T21" s="976" t="s">
        <v>119</v>
      </c>
      <c r="U21" s="977"/>
      <c r="V21" s="977"/>
      <c r="W21" s="977"/>
      <c r="X21" s="978"/>
      <c r="Y21" s="976" t="s">
        <v>120</v>
      </c>
      <c r="Z21" s="977"/>
      <c r="AA21" s="977"/>
      <c r="AB21" s="977"/>
      <c r="AC21" s="978"/>
      <c r="AD21" s="976" t="s">
        <v>121</v>
      </c>
      <c r="AE21" s="977"/>
      <c r="AF21" s="977"/>
      <c r="AG21" s="977"/>
      <c r="AH21" s="978"/>
    </row>
    <row r="22" spans="2:34" ht="15.75" thickBot="1">
      <c r="B22" s="190" t="s">
        <v>122</v>
      </c>
      <c r="C22" s="998" t="s">
        <v>123</v>
      </c>
      <c r="D22" s="999"/>
      <c r="E22" s="999"/>
      <c r="F22" s="1000"/>
      <c r="G22" s="176">
        <v>440</v>
      </c>
      <c r="H22" s="176">
        <v>465</v>
      </c>
      <c r="I22" s="176">
        <v>546.1</v>
      </c>
      <c r="J22" s="176">
        <v>590</v>
      </c>
      <c r="K22" s="177">
        <v>635</v>
      </c>
      <c r="L22" s="726" t="s">
        <v>124</v>
      </c>
      <c r="M22" s="192" t="s">
        <v>125</v>
      </c>
      <c r="N22" s="193" t="s">
        <v>126</v>
      </c>
      <c r="O22" s="192" t="s">
        <v>127</v>
      </c>
      <c r="P22" s="194" t="s">
        <v>128</v>
      </c>
      <c r="Q22" s="1001" t="s">
        <v>124</v>
      </c>
      <c r="R22" s="1002"/>
      <c r="S22" s="1003"/>
      <c r="T22" s="257" t="s">
        <v>166</v>
      </c>
      <c r="U22" s="258" t="s">
        <v>167</v>
      </c>
      <c r="V22" s="258" t="s">
        <v>168</v>
      </c>
      <c r="W22" s="258" t="s">
        <v>169</v>
      </c>
      <c r="X22" s="259" t="s">
        <v>170</v>
      </c>
      <c r="Y22" s="257" t="s">
        <v>166</v>
      </c>
      <c r="Z22" s="258" t="s">
        <v>167</v>
      </c>
      <c r="AA22" s="258" t="s">
        <v>168</v>
      </c>
      <c r="AB22" s="258" t="s">
        <v>169</v>
      </c>
      <c r="AC22" s="259" t="s">
        <v>170</v>
      </c>
      <c r="AD22" s="257" t="s">
        <v>166</v>
      </c>
      <c r="AE22" s="258" t="s">
        <v>167</v>
      </c>
      <c r="AF22" s="258" t="s">
        <v>168</v>
      </c>
      <c r="AG22" s="258" t="s">
        <v>169</v>
      </c>
      <c r="AH22" s="259" t="s">
        <v>170</v>
      </c>
    </row>
    <row r="23" spans="2:34">
      <c r="B23" s="205" t="s">
        <v>139</v>
      </c>
      <c r="C23" s="982" t="s">
        <v>165</v>
      </c>
      <c r="D23" s="992"/>
      <c r="E23" s="992"/>
      <c r="F23" s="984"/>
      <c r="G23" s="513">
        <f>IF($AA19 = 1, VLOOKUP($I19,'Cadastro - Padrões Absorbância'!$D$7:$P$9,9,FALSE), IF($AA19 = 5, VLOOKUP($I19,'Cadastro - Padrões Absorbância'!$D$10:$P$12, 9,FALSE)))</f>
        <v>4.0000000000000001E-3</v>
      </c>
      <c r="H23" s="513">
        <f>IF($AA19 = 1, VLOOKUP($I19,'Cadastro - Padrões Absorbância'!$D$7:$P$9,10,FALSE), IF($AA19 = 5, VLOOKUP($I19,'Cadastro - Padrões Absorbância'!$D$10:$P$12, 10,FALSE)))</f>
        <v>4.0000000000000001E-3</v>
      </c>
      <c r="I23" s="513">
        <f>IF($AA19 = 1, VLOOKUP($I19,'Cadastro - Padrões Absorbância'!$D$7:$P$9,11,FALSE), IF($AA19 = 5, VLOOKUP($I19,'Cadastro - Padrões Absorbância'!$D$10:$P$12, 11,FALSE)))</f>
        <v>4.0000000000000001E-3</v>
      </c>
      <c r="J23" s="513">
        <f>IF($AA19 = 1, VLOOKUP($I19,'Cadastro - Padrões Absorbância'!$D$7:$P$9,12,FALSE), IF($AA19 = 5, VLOOKUP($I19,'Cadastro - Padrões Absorbância'!$D$10:$P$12, 12,FALSE)))</f>
        <v>4.0000000000000001E-3</v>
      </c>
      <c r="K23" s="513">
        <f>IF($AA19 = 1, VLOOKUP($I19,'Cadastro - Padrões Absorbância'!$D$7:$P$9,13,FALSE), IF($AA19 = 5, VLOOKUP($I19,'Cadastro - Padrões Absorbância'!$D$10:$P$12, 13,FALSE)))</f>
        <v>4.0000000000000001E-3</v>
      </c>
      <c r="L23" s="198" t="s">
        <v>59</v>
      </c>
      <c r="M23" s="196" t="s">
        <v>136</v>
      </c>
      <c r="N23" s="196" t="s">
        <v>132</v>
      </c>
      <c r="O23" s="198">
        <v>2</v>
      </c>
      <c r="P23" s="196">
        <v>1</v>
      </c>
      <c r="Q23" s="196" t="s">
        <v>130</v>
      </c>
      <c r="R23" s="196" t="s">
        <v>133</v>
      </c>
      <c r="S23" s="198" t="s">
        <v>130</v>
      </c>
      <c r="T23" s="525">
        <f>IF(ISNUMBER(G23),G23/$O$10,"")</f>
        <v>2E-3</v>
      </c>
      <c r="U23" s="526">
        <f>IF(ISNUMBER(H23),H23/$O$10,"")</f>
        <v>2E-3</v>
      </c>
      <c r="V23" s="526">
        <f>IF(ISNUMBER(I23),I23/$O$10,"")</f>
        <v>2E-3</v>
      </c>
      <c r="W23" s="526">
        <f>IF(ISNUMBER(J23),J23/$O$10,"")</f>
        <v>2E-3</v>
      </c>
      <c r="X23" s="527">
        <f>IF(ISNUMBER(K23),K23/$O$10,"")</f>
        <v>2E-3</v>
      </c>
      <c r="Y23" s="207" t="s">
        <v>138</v>
      </c>
      <c r="Z23" s="207" t="s">
        <v>138</v>
      </c>
      <c r="AA23" s="207" t="s">
        <v>138</v>
      </c>
      <c r="AB23" s="207" t="s">
        <v>138</v>
      </c>
      <c r="AC23" s="208" t="s">
        <v>138</v>
      </c>
      <c r="AD23" s="202">
        <f ca="1">IF(ISNUMBER(T23),IF(ISNUMBER(T$28),(T23^2)/(T$28^2),""),"")</f>
        <v>0.95388053316403509</v>
      </c>
      <c r="AE23" s="203">
        <f ca="1">IF(ISNUMBER(U23),IF(ISNUMBER(U$28),(U23^2)/(U$28^2),""),"")</f>
        <v>0.95390050788139791</v>
      </c>
      <c r="AF23" s="203">
        <f ca="1">IF(ISNUMBER(V23),IF(ISNUMBER(V$28),(V23^2)/(V$28^2),""),"")</f>
        <v>0.9540321269333174</v>
      </c>
      <c r="AG23" s="203">
        <f ca="1">IF(ISNUMBER(W23),IF(ISNUMBER(W$28),(W23^2)/(W$28^2),""),"")</f>
        <v>0.9540791425404257</v>
      </c>
      <c r="AH23" s="204">
        <f ca="1">IF(ISNUMBER(X23),IF(ISNUMBER(X$28),(X23^2)/(X$28^2),""),"")</f>
        <v>0.95406856362480896</v>
      </c>
    </row>
    <row r="24" spans="2:34">
      <c r="B24" s="268" t="s">
        <v>140</v>
      </c>
      <c r="C24" s="1012" t="s">
        <v>177</v>
      </c>
      <c r="D24" s="1013"/>
      <c r="E24" s="1013"/>
      <c r="F24" s="1014"/>
      <c r="G24" s="517">
        <f ca="1">IF($AD19 = "", G23, ABS((((YEAR(TODAY())-YEAR($AD19))*12 - MONTH($AD19) + MONTH(TODAY())))*VLOOKUP($L$6,'Cadastro - Padrões Absorbância'!$F$41:$P$43,7,FALSE)))</f>
        <v>1.1818181818181779E-4</v>
      </c>
      <c r="H24" s="517">
        <f ca="1">IF($AD19 = "", H23, ABS((((YEAR(TODAY())-YEAR($AD19))*12 - MONTH($AD19) + MONTH(TODAY())))*VLOOKUP($L$6,'Cadastro - Padrões Absorbância'!$F$41:$P$43,8,FALSE)))</f>
        <v>1.1363636363636247E-4</v>
      </c>
      <c r="I24" s="517">
        <f ca="1">IF($AD19 = "", I23, ABS((((YEAR(TODAY())-YEAR($AD19))*12 - MONTH($AD19) + MONTH(TODAY())))*VLOOKUP($L$6,'Cadastro - Padrões Absorbância'!$F$41:$P$43,9,FALSE)))</f>
        <v>7.7272727272726337E-5</v>
      </c>
      <c r="J24" s="517">
        <f ca="1">IF($AD19 = "", J23, ABS((((YEAR(TODAY())-YEAR($AD19))*12 - MONTH($AD19) + MONTH(TODAY())))*VLOOKUP($L$6,'Cadastro - Padrões Absorbância'!$F$41:$P$43,10,FALSE)))</f>
        <v>5.9090909090907626E-5</v>
      </c>
      <c r="K24" s="517">
        <f ca="1">IF($AD19 = "", K23, ABS((((YEAR(TODAY())-YEAR($AD19))*12 - MONTH($AD19) + MONTH(TODAY())))*VLOOKUP($L$6,'Cadastro - Padrões Absorbância'!$F$41:$P$43,11,FALSE)))</f>
        <v>6.3636363636364196E-5</v>
      </c>
      <c r="L24" s="198" t="s">
        <v>59</v>
      </c>
      <c r="M24" s="256" t="s">
        <v>136</v>
      </c>
      <c r="N24" s="256" t="s">
        <v>137</v>
      </c>
      <c r="O24" s="198">
        <f>SQRT(12)</f>
        <v>3.4641016151377544</v>
      </c>
      <c r="P24" s="256">
        <v>1</v>
      </c>
      <c r="Q24" s="256" t="s">
        <v>130</v>
      </c>
      <c r="R24" s="256" t="s">
        <v>133</v>
      </c>
      <c r="S24" s="198" t="s">
        <v>130</v>
      </c>
      <c r="T24" s="206">
        <f ca="1">IF(ISNUMBER(G24),G24/$O$11,"")</f>
        <v>3.4116152270295958E-5</v>
      </c>
      <c r="U24" s="256">
        <f ca="1">IF(ISNUMBER(H24),H24/$O$11,"")</f>
        <v>3.2803992567592039E-5</v>
      </c>
      <c r="V24" s="256">
        <f ca="1">IF(ISNUMBER(I24),I24/$O$11,"")</f>
        <v>2.2306714945962546E-5</v>
      </c>
      <c r="W24" s="256">
        <f ca="1">IF(ISNUMBER(J24),J24/$O$11,"")</f>
        <v>1.7058076135147613E-5</v>
      </c>
      <c r="X24" s="198">
        <f ca="1">IF(ISNUMBER(K24),K24/$O$11,"")</f>
        <v>1.8370235837851891E-5</v>
      </c>
      <c r="Y24" s="269" t="s">
        <v>138</v>
      </c>
      <c r="Z24" s="269" t="s">
        <v>138</v>
      </c>
      <c r="AA24" s="269" t="s">
        <v>138</v>
      </c>
      <c r="AB24" s="269" t="s">
        <v>138</v>
      </c>
      <c r="AC24" s="208" t="s">
        <v>138</v>
      </c>
      <c r="AD24" s="209">
        <f ca="1">IF(ISNUMBER(T24),IF(ISNUMBER(T$28),(T24^2)/(T$28^2),""),"")</f>
        <v>2.7755821299022188E-4</v>
      </c>
      <c r="AE24" s="266">
        <f t="shared" ref="AE24:AH26" ca="1" si="2">IF(ISNUMBER(U24),IF(ISNUMBER(U$28),(U24^2)/(U$28^2),""),"")</f>
        <v>2.5662354400217868E-4</v>
      </c>
      <c r="AF24" s="266">
        <f t="shared" ca="1" si="2"/>
        <v>1.1867909981220821E-4</v>
      </c>
      <c r="AG24" s="266">
        <f t="shared" ca="1" si="2"/>
        <v>6.9404000985418386E-5</v>
      </c>
      <c r="AH24" s="210">
        <f t="shared" ca="1" si="2"/>
        <v>8.0491321655675726E-5</v>
      </c>
    </row>
    <row r="25" spans="2:34">
      <c r="B25" s="267" t="s">
        <v>129</v>
      </c>
      <c r="C25" s="982" t="s">
        <v>175</v>
      </c>
      <c r="D25" s="983"/>
      <c r="E25" s="983"/>
      <c r="F25" s="984"/>
      <c r="G25" s="196">
        <f>0.00033</f>
        <v>3.3E-4</v>
      </c>
      <c r="H25" s="196">
        <f t="shared" ref="H25:K25" si="3">0.00033</f>
        <v>3.3E-4</v>
      </c>
      <c r="I25" s="196">
        <f t="shared" si="3"/>
        <v>3.3E-4</v>
      </c>
      <c r="J25" s="196">
        <f t="shared" si="3"/>
        <v>3.3E-4</v>
      </c>
      <c r="K25" s="196">
        <f t="shared" si="3"/>
        <v>3.3E-4</v>
      </c>
      <c r="L25" s="198" t="s">
        <v>59</v>
      </c>
      <c r="M25" s="196" t="s">
        <v>131</v>
      </c>
      <c r="N25" s="196" t="s">
        <v>132</v>
      </c>
      <c r="O25" s="198">
        <v>1</v>
      </c>
      <c r="P25" s="196">
        <v>1</v>
      </c>
      <c r="Q25" s="256" t="s">
        <v>130</v>
      </c>
      <c r="R25" s="256" t="s">
        <v>133</v>
      </c>
      <c r="S25" s="198" t="s">
        <v>130</v>
      </c>
      <c r="T25" s="206">
        <f>IF(ISNUMBER(G25),G25/$O$12,"")</f>
        <v>3.3E-4</v>
      </c>
      <c r="U25" s="256">
        <f>IF(ISNUMBER(H25),H25/$O$12,"")</f>
        <v>3.3E-4</v>
      </c>
      <c r="V25" s="256">
        <f>IF(ISNUMBER(I25),I25/$O$12,"")</f>
        <v>3.3E-4</v>
      </c>
      <c r="W25" s="256">
        <f>IF(ISNUMBER(J25),J25/$O$12,"")</f>
        <v>3.3E-4</v>
      </c>
      <c r="X25" s="198">
        <f>IF(ISNUMBER(K25),K25/$O$12,"")</f>
        <v>3.3E-4</v>
      </c>
      <c r="Y25" s="201">
        <f>VLOOKUP($I19,'Registro Tratado'!$F$362:$R$400, 9, FALSE) - 1</f>
        <v>3</v>
      </c>
      <c r="Z25" s="201">
        <f>VLOOKUP($I19,'Registro Tratado'!$F$362:$R$400, 10, FALSE) - 1</f>
        <v>3</v>
      </c>
      <c r="AA25" s="201">
        <f>VLOOKUP($I19,'Registro Tratado'!$F$362:$R$400, 11, FALSE) - 1</f>
        <v>3</v>
      </c>
      <c r="AB25" s="201">
        <f>VLOOKUP($I19,'Registro Tratado'!$F$362:$R$400, 12, FALSE) - 1</f>
        <v>3</v>
      </c>
      <c r="AC25" s="201">
        <f>VLOOKUP($I19,'Registro Tratado'!$F$362:$R$400, 13, FALSE) - 1</f>
        <v>3</v>
      </c>
      <c r="AD25" s="209">
        <f ca="1">IF(ISNUMBER(T25),IF(ISNUMBER(T$28),(T25^2)/(T$28^2),""),"")</f>
        <v>2.5969397515390857E-2</v>
      </c>
      <c r="AE25" s="266">
        <f t="shared" ca="1" si="2"/>
        <v>2.5969941327071061E-2</v>
      </c>
      <c r="AF25" s="266">
        <f t="shared" ca="1" si="2"/>
        <v>2.5973524655759569E-2</v>
      </c>
      <c r="AG25" s="266">
        <f t="shared" ca="1" si="2"/>
        <v>2.5974804655663094E-2</v>
      </c>
      <c r="AH25" s="210">
        <f t="shared" ca="1" si="2"/>
        <v>2.5974516644685426E-2</v>
      </c>
    </row>
    <row r="26" spans="2:34" ht="15.75" thickBot="1">
      <c r="B26" s="205" t="s">
        <v>134</v>
      </c>
      <c r="C26" s="973" t="s">
        <v>135</v>
      </c>
      <c r="D26" s="974"/>
      <c r="E26" s="974"/>
      <c r="F26" s="975"/>
      <c r="G26" s="213">
        <f>IF(ISNUMBER('Registro Original'!$G$46),'Registro Original'!$G$46,"")</f>
        <v>1E-3</v>
      </c>
      <c r="H26" s="213">
        <f>IF(ISNUMBER('Registro Original'!$G$46),'Registro Original'!$G$46,"")</f>
        <v>1E-3</v>
      </c>
      <c r="I26" s="213">
        <f>IF(ISNUMBER('Registro Original'!$G$46),'Registro Original'!$G$46,"")</f>
        <v>1E-3</v>
      </c>
      <c r="J26" s="213">
        <f>IF(ISNUMBER('Registro Original'!$G$46),'Registro Original'!$G$46,"")</f>
        <v>1E-3</v>
      </c>
      <c r="K26" s="213">
        <f>IF(ISNUMBER('Registro Original'!$G$46),'Registro Original'!$G$46,"")</f>
        <v>1E-3</v>
      </c>
      <c r="L26" s="212" t="s">
        <v>59</v>
      </c>
      <c r="M26" s="213" t="s">
        <v>136</v>
      </c>
      <c r="N26" s="213" t="s">
        <v>137</v>
      </c>
      <c r="O26" s="212">
        <f>SQRT(12)</f>
        <v>3.4641016151377544</v>
      </c>
      <c r="P26" s="213">
        <v>1</v>
      </c>
      <c r="Q26" s="213" t="s">
        <v>130</v>
      </c>
      <c r="R26" s="213" t="s">
        <v>133</v>
      </c>
      <c r="S26" s="212" t="s">
        <v>130</v>
      </c>
      <c r="T26" s="214">
        <f>IF(ISNUMBER(G26),G26/$O$13,"")</f>
        <v>2.886751345948129E-4</v>
      </c>
      <c r="U26" s="213">
        <f>IF(ISNUMBER(H26),H26/$O$13,"")</f>
        <v>2.886751345948129E-4</v>
      </c>
      <c r="V26" s="213">
        <f>IF(ISNUMBER(I26),I26/$O$13,"")</f>
        <v>2.886751345948129E-4</v>
      </c>
      <c r="W26" s="213">
        <f>IF(ISNUMBER(J26),J26/$O$13,"")</f>
        <v>2.886751345948129E-4</v>
      </c>
      <c r="X26" s="212">
        <f>IF(ISNUMBER(K26),K26/$O$13,"")</f>
        <v>2.886751345948129E-4</v>
      </c>
      <c r="Y26" s="207" t="s">
        <v>138</v>
      </c>
      <c r="Z26" s="207" t="s">
        <v>138</v>
      </c>
      <c r="AA26" s="207" t="s">
        <v>138</v>
      </c>
      <c r="AB26" s="207" t="s">
        <v>138</v>
      </c>
      <c r="AC26" s="208" t="s">
        <v>138</v>
      </c>
      <c r="AD26" s="215">
        <f ca="1">IF(ISNUMBER(T26),IF(ISNUMBER(T$28),(T26^2)/(T$28^2),""),"")</f>
        <v>1.9872511107584066E-2</v>
      </c>
      <c r="AE26" s="216">
        <f t="shared" ca="1" si="2"/>
        <v>1.9872927247529124E-2</v>
      </c>
      <c r="AF26" s="216">
        <f t="shared" ca="1" si="2"/>
        <v>1.9875669311110782E-2</v>
      </c>
      <c r="AG26" s="216">
        <f t="shared" ca="1" si="2"/>
        <v>1.9876648802925539E-2</v>
      </c>
      <c r="AH26" s="217">
        <f t="shared" ca="1" si="2"/>
        <v>1.9876428408850188E-2</v>
      </c>
    </row>
    <row r="27" spans="2:34" ht="15.75" customHeight="1" thickBot="1">
      <c r="B27" s="218"/>
      <c r="C27" s="219"/>
      <c r="D27" s="219"/>
      <c r="E27" s="219"/>
      <c r="F27" s="219"/>
      <c r="G27" s="196"/>
      <c r="H27" s="196"/>
      <c r="I27" s="196"/>
      <c r="J27" s="196"/>
      <c r="K27" s="196"/>
      <c r="L27" s="196"/>
      <c r="M27" s="196"/>
      <c r="N27" s="196"/>
      <c r="O27" s="196"/>
      <c r="P27" s="196"/>
      <c r="Q27" s="196"/>
      <c r="R27" s="196"/>
      <c r="S27" s="196"/>
      <c r="T27" s="196"/>
      <c r="U27" s="196"/>
      <c r="V27" s="196"/>
      <c r="W27" s="196"/>
      <c r="X27" s="196"/>
      <c r="Y27" s="976" t="s">
        <v>141</v>
      </c>
      <c r="Z27" s="977"/>
      <c r="AA27" s="977"/>
      <c r="AB27" s="977"/>
      <c r="AC27" s="978"/>
      <c r="AD27" s="196"/>
      <c r="AE27" s="196"/>
      <c r="AF27" s="196"/>
      <c r="AG27" s="196"/>
      <c r="AH27" s="196"/>
    </row>
    <row r="28" spans="2:34" ht="15.75" thickBot="1">
      <c r="B28" s="195" t="s">
        <v>142</v>
      </c>
      <c r="C28" s="993" t="s">
        <v>143</v>
      </c>
      <c r="D28" s="993"/>
      <c r="E28" s="993"/>
      <c r="F28" s="993"/>
      <c r="G28" s="993"/>
      <c r="H28" s="993"/>
      <c r="I28" s="993"/>
      <c r="J28" s="993"/>
      <c r="K28" s="993"/>
      <c r="L28" s="993"/>
      <c r="M28" s="993"/>
      <c r="N28" s="993"/>
      <c r="O28" s="993"/>
      <c r="P28" s="993"/>
      <c r="Q28" s="993"/>
      <c r="R28" s="994"/>
      <c r="S28" s="220" t="s">
        <v>130</v>
      </c>
      <c r="T28" s="221">
        <f ca="1" xml:space="preserve"> IF(ISNUMBER(T25),SQRT(SUMSQ($P25*T25,$P26*T26,$P23*T23,$P24*T24)),"")</f>
        <v>2.0477786123453538E-3</v>
      </c>
      <c r="U28" s="222">
        <f ca="1" xml:space="preserve"> IF(ISNUMBER(U25),SQRT(SUMSQ($P25*U25,$P26*U26,$P23*U23,$P24*U24)),"")</f>
        <v>2.0477571719473252E-3</v>
      </c>
      <c r="V28" s="222">
        <f ca="1" xml:space="preserve"> IF(ISNUMBER(V25),SQRT(SUMSQ($P25*V25,$P26*V26,$P23*V23,$P24*V24)),"")</f>
        <v>2.0476159119485796E-3</v>
      </c>
      <c r="W28" s="222">
        <f ca="1" xml:space="preserve"> IF(ISNUMBER(W25),SQRT(SUMSQ($P25*W25,$P26*W26,$P23*W23,$P24*W24)),"")</f>
        <v>2.0475654595872549E-3</v>
      </c>
      <c r="X28" s="223">
        <f ca="1" xml:space="preserve"> IF(ISNUMBER(X25),SQRT(SUMSQ($P25*X25,$P26*X26,$P23*X23,$P24*X24)),"")</f>
        <v>2.0475768114769396E-3</v>
      </c>
      <c r="Y28" s="531">
        <f ca="1">IF(Y25="","",IF(T25 = 0, "∞", IF((T28^4)/((T25^4)/Y25) &gt; 1000000, "∞", (T28^4)/((T25^4)/Y25))))</f>
        <v>4448.3352067824117</v>
      </c>
      <c r="Z28" s="532">
        <f ca="1">IF(Z25="","",IF(U25 = 0, "∞", IF((U28^4)/((U25^4)/Z25) &gt; 1000000, "∞", (U28^4)/((U25^4)/Z25))))</f>
        <v>4448.1489120746292</v>
      </c>
      <c r="AA28" s="532">
        <f ca="1">IF(AA25="","",IF(V25 = 0, "∞", IF((V28^4)/((V25^4)/AA25) &gt; 1000000, "∞", (V28^4)/((V25^4)/AA25))))</f>
        <v>4446.921656218713</v>
      </c>
      <c r="AB28" s="532">
        <f ca="1">IF(AB25="","",IF(W25 = 0, "∞", IF((W28^4)/((W25^4)/AB25) &gt; 1000000, "∞", (W28^4)/((W25^4)/AB25))))</f>
        <v>4446.4833915912577</v>
      </c>
      <c r="AC28" s="533">
        <f ca="1">IF(AC25="","",IF(V25 = 0, "∞", IF((V28^4)/((V25^4)/AC25) &gt; 1000000, "∞", (V28^4)/((V25^4)/AC25))))</f>
        <v>4446.921656218713</v>
      </c>
      <c r="AD28" s="218"/>
      <c r="AE28" s="218"/>
      <c r="AF28" s="218"/>
      <c r="AG28" s="218"/>
      <c r="AH28" s="218"/>
    </row>
    <row r="29" spans="2:34" ht="15" customHeight="1">
      <c r="B29" s="205" t="s">
        <v>144</v>
      </c>
      <c r="C29" s="985" t="s">
        <v>467</v>
      </c>
      <c r="D29" s="985"/>
      <c r="E29" s="985"/>
      <c r="F29" s="985"/>
      <c r="G29" s="985"/>
      <c r="H29" s="985"/>
      <c r="I29" s="985"/>
      <c r="J29" s="985"/>
      <c r="K29" s="985"/>
      <c r="L29" s="985"/>
      <c r="M29" s="985"/>
      <c r="N29" s="985"/>
      <c r="O29" s="985"/>
      <c r="P29" s="985"/>
      <c r="Q29" s="985"/>
      <c r="R29" s="986"/>
      <c r="S29" s="224" t="s">
        <v>130</v>
      </c>
      <c r="T29" s="225">
        <f ca="1">IF(ISNUMBER(Y30),T28*Y30,"")</f>
        <v>4.0967135046648395E-3</v>
      </c>
      <c r="U29" s="226">
        <f ca="1">IF(ISNUMBER(Z30),U28*Z30,"")</f>
        <v>4.096670611762443E-3</v>
      </c>
      <c r="V29" s="226">
        <f ca="1">IF(ISNUMBER(AA30),V28*AA30,"")</f>
        <v>4.0963885299966276E-3</v>
      </c>
      <c r="W29" s="226">
        <f ca="1">IF(ISNUMBER(AB30),W28*AB30,"")</f>
        <v>4.0962875967732459E-3</v>
      </c>
      <c r="X29" s="226">
        <f ca="1">IF(ISNUMBER(AC30),X28*AC30,"")</f>
        <v>4.0963103069653409E-3</v>
      </c>
      <c r="Y29" s="976" t="s">
        <v>146</v>
      </c>
      <c r="Z29" s="977"/>
      <c r="AA29" s="977"/>
      <c r="AB29" s="977"/>
      <c r="AC29" s="978"/>
      <c r="AD29" s="218"/>
      <c r="AE29" s="218"/>
      <c r="AF29" s="218"/>
      <c r="AG29" s="218"/>
      <c r="AH29" s="218"/>
    </row>
    <row r="30" spans="2:34" ht="15.75" thickBot="1">
      <c r="B30" s="211" t="s">
        <v>144</v>
      </c>
      <c r="C30" s="987" t="s">
        <v>147</v>
      </c>
      <c r="D30" s="987"/>
      <c r="E30" s="987"/>
      <c r="F30" s="987"/>
      <c r="G30" s="987"/>
      <c r="H30" s="987"/>
      <c r="I30" s="987"/>
      <c r="J30" s="987"/>
      <c r="K30" s="987"/>
      <c r="L30" s="987"/>
      <c r="M30" s="987"/>
      <c r="N30" s="987"/>
      <c r="O30" s="987"/>
      <c r="P30" s="987"/>
      <c r="Q30" s="987"/>
      <c r="R30" s="988"/>
      <c r="S30" s="227" t="s">
        <v>130</v>
      </c>
      <c r="T30" s="518">
        <f ca="1">IF(ISNUMBER(T29), IF(((T29-ROUNDDOWN(T29,2))/T29)*100 &gt; 5,ROUNDUP(T29,2), ROUNDDOWN(T29,2)),"")</f>
        <v>0.01</v>
      </c>
      <c r="U30" s="518">
        <f ca="1">IF(ISNUMBER(U29), IF(((U29-ROUNDDOWN(U29,2))/U29)*100 &gt; 5,ROUNDUP(U29,2), ROUNDDOWN(U29,2)),"")</f>
        <v>0.01</v>
      </c>
      <c r="V30" s="518">
        <f ca="1">IF(ISNUMBER(V29), IF(((V29-ROUNDDOWN(V29,2))/V29)*100 &gt; 5,ROUNDUP(V29,2), ROUNDDOWN(V29,2)),"")</f>
        <v>0.01</v>
      </c>
      <c r="W30" s="518">
        <f ca="1">IF(ISNUMBER(W29), IF(((W29-ROUNDDOWN(W29,2))/W29)*100 &gt; 5,ROUNDUP(W29,2), ROUNDDOWN(W29,2)),"")</f>
        <v>0.01</v>
      </c>
      <c r="X30" s="518">
        <f ca="1">IF(ISNUMBER(X29), IF(((X29-ROUNDDOWN(X29,2))/X29)*100 &gt; 5,ROUNDUP(X29,2), ROUNDDOWN(X29,2)),"")</f>
        <v>0.01</v>
      </c>
      <c r="Y30" s="480">
        <f ca="1">IF(Y28 ="∞", 2, IF(ISNUMBER(Y28), IF(Y28 &gt; 1000000, 2,_xlfn.T.INV.2T(1-0.9545,Y28))))</f>
        <v>2.0005646508695625</v>
      </c>
      <c r="Z30" s="481">
        <f ca="1">IF(Z28 ="∞", 2, IF(ISNUMBER(Z28), IF(Z28 &gt; 1000000, 2,_xlfn.T.INV.2T(1-0.9545,Z28))))</f>
        <v>2.0005646508695625</v>
      </c>
      <c r="AA30" s="481">
        <f ca="1">IF(AA28 ="∞", 2, IF(ISNUMBER(AA28), IF(AA28 &gt; 1000000, 2,_xlfn.T.INV.2T(1-0.9545,AA28))))</f>
        <v>2.0005649038438893</v>
      </c>
      <c r="AB30" s="481">
        <f ca="1">IF(AB28 ="∞", 2, IF(ISNUMBER(AB28), IF(AB28 &gt; 1000000, 2,_xlfn.T.INV.2T(1-0.9545,AB28))))</f>
        <v>2.0005649038438893</v>
      </c>
      <c r="AC30" s="482">
        <f ca="1">IF(AC28 ="∞", 2, IF(ISNUMBER(AC28), IF(AC28 &gt; 1000000, 2,_xlfn.T.INV.2T(1-0.9545,AC28))))</f>
        <v>2.0005649038438893</v>
      </c>
      <c r="AD30" s="218"/>
      <c r="AE30" s="218"/>
      <c r="AF30" s="218"/>
      <c r="AG30" s="218"/>
      <c r="AH30" s="218"/>
    </row>
    <row r="31" spans="2:34" ht="15.75" thickBot="1"/>
    <row r="32" spans="2:34" ht="15.75" thickBot="1">
      <c r="B32" s="729" t="s">
        <v>149</v>
      </c>
      <c r="C32" s="1009" t="s">
        <v>148</v>
      </c>
      <c r="D32" s="1009"/>
      <c r="E32" s="1009"/>
      <c r="F32" s="728" t="s">
        <v>62</v>
      </c>
      <c r="G32" s="727" t="s">
        <v>63</v>
      </c>
      <c r="H32" s="728" t="s">
        <v>116</v>
      </c>
      <c r="I32" s="727" t="str">
        <f>IF($L32 = 0.25, 'Cadastro - Padrões Absorbância'!D$16, IF($L32 = 0.5, 'Cadastro - Padrões Absorbância'!D$15, 'Cadastro - Padrões Absorbância'!D$14))</f>
        <v>44599-1N</v>
      </c>
      <c r="J32" s="1011" t="s">
        <v>314</v>
      </c>
      <c r="K32" s="1011"/>
      <c r="L32" s="718">
        <v>1</v>
      </c>
      <c r="M32" s="1011" t="s">
        <v>162</v>
      </c>
      <c r="N32" s="1011"/>
      <c r="O32" s="253">
        <f>IF($AA32 = 1, VLOOKUP($I32,'Cadastro - Padrões Absorbância'!$D$7:$K$9,4,FALSE), IF($AA32 = 5, VLOOKUP($I32,'Cadastro - Padrões Absorbância'!$D$10:$K$12, 4,FALSE)))</f>
        <v>1.0061</v>
      </c>
      <c r="P32" s="253">
        <f>IF($AA32 = 1, VLOOKUP($I32,'Cadastro - Padrões Absorbância'!$D$7:$K$9,5,FALSE), IF($AA32 = 5, VLOOKUP($I32,'Cadastro - Padrões Absorbância'!$D$10:$K$12, 5,FALSE)))</f>
        <v>0.95569999999999999</v>
      </c>
      <c r="Q32" s="253">
        <f>IF($AA32 = 1, VLOOKUP($I32,'Cadastro - Padrões Absorbância'!$D$7:$K$9,6,FALSE), IF($AA32 = 5, VLOOKUP($I32,'Cadastro - Padrões Absorbância'!$D$10:$K$12, 6,FALSE)))</f>
        <v>1.0014000000000001</v>
      </c>
      <c r="R32" s="253">
        <f>IF($AA32 = 1, VLOOKUP($I32,'Cadastro - Padrões Absorbância'!$D$7:$K$9,7,FALSE), IF($AA32 = 5, VLOOKUP($I32,'Cadastro - Padrões Absorbância'!$D$10:$K$12, 7,FALSE)))</f>
        <v>1.0978000000000001</v>
      </c>
      <c r="S32" s="253">
        <f>IF($AA32 = 1, VLOOKUP($I32,'Cadastro - Padrões Absorbância'!$D$7:$K$9,8,FALSE), IF($AA32 = 5, VLOOKUP($I32,'Cadastro - Padrões Absorbância'!$D$10:$K$12, 8,FALSE)))</f>
        <v>1.0900000000000001</v>
      </c>
      <c r="T32" s="1017" t="s">
        <v>163</v>
      </c>
      <c r="U32" s="1010"/>
      <c r="V32" s="271" t="s">
        <v>176</v>
      </c>
      <c r="W32" s="1010" t="str">
        <f>CONCATENATE(L32, " A", " – ",I32)</f>
        <v>1 A – 44599-1N</v>
      </c>
      <c r="X32" s="1015"/>
      <c r="Y32" s="1016" t="s">
        <v>164</v>
      </c>
      <c r="Z32" s="1011"/>
      <c r="AA32" s="717">
        <f>'Registro Tratado'!$H$44</f>
        <v>1</v>
      </c>
      <c r="AB32" s="1011" t="s">
        <v>307</v>
      </c>
      <c r="AC32" s="1011"/>
      <c r="AD32" s="493">
        <f>VLOOKUP($I32,'Cadastro - Padrões Absorbância'!$D$7:$Q$12,14,FALSE)</f>
        <v>44414</v>
      </c>
      <c r="AE32" s="254"/>
      <c r="AF32" s="254"/>
      <c r="AG32" s="254"/>
      <c r="AH32" s="272"/>
    </row>
    <row r="33" spans="2:34" ht="3.75" customHeight="1" thickBot="1">
      <c r="B33" s="185"/>
      <c r="C33" s="185"/>
      <c r="D33" s="186"/>
      <c r="E33" s="186"/>
      <c r="F33" s="185"/>
      <c r="G33" s="186"/>
      <c r="H33" s="185"/>
      <c r="I33" s="186"/>
      <c r="J33" s="186"/>
      <c r="K33" s="186"/>
      <c r="L33" s="185"/>
      <c r="M33" s="185"/>
      <c r="N33" s="185"/>
      <c r="O33" s="187"/>
      <c r="P33" s="188"/>
      <c r="Q33" s="188"/>
      <c r="R33" s="189"/>
      <c r="S33" s="189"/>
      <c r="AH33" s="270"/>
    </row>
    <row r="34" spans="2:34" ht="15.75" thickBot="1">
      <c r="B34" s="998" t="s">
        <v>117</v>
      </c>
      <c r="C34" s="999"/>
      <c r="D34" s="999"/>
      <c r="E34" s="999"/>
      <c r="F34" s="999"/>
      <c r="G34" s="999"/>
      <c r="H34" s="999"/>
      <c r="I34" s="999"/>
      <c r="J34" s="999"/>
      <c r="K34" s="999"/>
      <c r="L34" s="999"/>
      <c r="M34" s="999"/>
      <c r="N34" s="999"/>
      <c r="O34" s="1000"/>
      <c r="P34" s="995" t="s">
        <v>118</v>
      </c>
      <c r="Q34" s="996"/>
      <c r="R34" s="996"/>
      <c r="S34" s="997"/>
      <c r="T34" s="976" t="s">
        <v>119</v>
      </c>
      <c r="U34" s="977"/>
      <c r="V34" s="977"/>
      <c r="W34" s="977"/>
      <c r="X34" s="978"/>
      <c r="Y34" s="976" t="s">
        <v>120</v>
      </c>
      <c r="Z34" s="977"/>
      <c r="AA34" s="977"/>
      <c r="AB34" s="977"/>
      <c r="AC34" s="978"/>
      <c r="AD34" s="976" t="s">
        <v>121</v>
      </c>
      <c r="AE34" s="977"/>
      <c r="AF34" s="977"/>
      <c r="AG34" s="977"/>
      <c r="AH34" s="978"/>
    </row>
    <row r="35" spans="2:34" ht="15.75" thickBot="1">
      <c r="B35" s="190" t="s">
        <v>122</v>
      </c>
      <c r="C35" s="998" t="s">
        <v>123</v>
      </c>
      <c r="D35" s="999"/>
      <c r="E35" s="999"/>
      <c r="F35" s="1000"/>
      <c r="G35" s="176">
        <v>440</v>
      </c>
      <c r="H35" s="176">
        <v>465</v>
      </c>
      <c r="I35" s="176">
        <v>546.1</v>
      </c>
      <c r="J35" s="176">
        <v>590</v>
      </c>
      <c r="K35" s="177">
        <v>635</v>
      </c>
      <c r="L35" s="726" t="s">
        <v>124</v>
      </c>
      <c r="M35" s="192" t="s">
        <v>125</v>
      </c>
      <c r="N35" s="193" t="s">
        <v>126</v>
      </c>
      <c r="O35" s="192" t="s">
        <v>127</v>
      </c>
      <c r="P35" s="194" t="s">
        <v>128</v>
      </c>
      <c r="Q35" s="1001" t="s">
        <v>124</v>
      </c>
      <c r="R35" s="1002"/>
      <c r="S35" s="1003"/>
      <c r="T35" s="257" t="s">
        <v>166</v>
      </c>
      <c r="U35" s="258" t="s">
        <v>167</v>
      </c>
      <c r="V35" s="258" t="s">
        <v>168</v>
      </c>
      <c r="W35" s="258" t="s">
        <v>169</v>
      </c>
      <c r="X35" s="259" t="s">
        <v>170</v>
      </c>
      <c r="Y35" s="257" t="s">
        <v>166</v>
      </c>
      <c r="Z35" s="258" t="s">
        <v>167</v>
      </c>
      <c r="AA35" s="258" t="s">
        <v>168</v>
      </c>
      <c r="AB35" s="258" t="s">
        <v>169</v>
      </c>
      <c r="AC35" s="259" t="s">
        <v>170</v>
      </c>
      <c r="AD35" s="257" t="s">
        <v>166</v>
      </c>
      <c r="AE35" s="258" t="s">
        <v>167</v>
      </c>
      <c r="AF35" s="258" t="s">
        <v>168</v>
      </c>
      <c r="AG35" s="258" t="s">
        <v>169</v>
      </c>
      <c r="AH35" s="259" t="s">
        <v>170</v>
      </c>
    </row>
    <row r="36" spans="2:34">
      <c r="B36" s="205" t="s">
        <v>139</v>
      </c>
      <c r="C36" s="982" t="s">
        <v>165</v>
      </c>
      <c r="D36" s="992"/>
      <c r="E36" s="992"/>
      <c r="F36" s="984"/>
      <c r="G36" s="513">
        <f>IF($AA32 = 1, VLOOKUP($I32,'Cadastro - Padrões Absorbância'!$D$7:$P$9,9,FALSE), IF($AA32 = 5, VLOOKUP($I32,'Cadastro - Padrões Absorbância'!$D$10:$P$12, 9,FALSE)))</f>
        <v>5.4000000000000003E-3</v>
      </c>
      <c r="H36" s="513">
        <f>IF($AA32 = 1, VLOOKUP($I32,'Cadastro - Padrões Absorbância'!$D$7:$P$9,10,FALSE), IF($AA32 = 5, VLOOKUP($I32,'Cadastro - Padrões Absorbância'!$D$10:$P$12, 10,FALSE)))</f>
        <v>5.4000000000000003E-3</v>
      </c>
      <c r="I36" s="513">
        <f>IF($AA32 = 1, VLOOKUP($I32,'Cadastro - Padrões Absorbância'!$D$7:$P$9,11,FALSE), IF($AA32 = 5, VLOOKUP($I32,'Cadastro - Padrões Absorbância'!$D$10:$P$12, 11,FALSE)))</f>
        <v>5.4000000000000003E-3</v>
      </c>
      <c r="J36" s="513">
        <f>IF($AA32 = 1, VLOOKUP($I32,'Cadastro - Padrões Absorbância'!$D$7:$P$9,12,FALSE), IF($AA32 = 5, VLOOKUP($I32,'Cadastro - Padrões Absorbância'!$D$10:$P$12, 12,FALSE)))</f>
        <v>5.4000000000000003E-3</v>
      </c>
      <c r="K36" s="513">
        <f>IF($AA32 = 1, VLOOKUP($I32,'Cadastro - Padrões Absorbância'!$D$7:$P$9,13,FALSE), IF($AA32 = 5, VLOOKUP($I32,'Cadastro - Padrões Absorbância'!$D$10:$P$12, 13,FALSE)))</f>
        <v>5.4000000000000003E-3</v>
      </c>
      <c r="L36" s="198" t="s">
        <v>59</v>
      </c>
      <c r="M36" s="196" t="s">
        <v>136</v>
      </c>
      <c r="N36" s="196" t="s">
        <v>132</v>
      </c>
      <c r="O36" s="198">
        <v>2</v>
      </c>
      <c r="P36" s="196">
        <v>1</v>
      </c>
      <c r="Q36" s="196" t="s">
        <v>130</v>
      </c>
      <c r="R36" s="196" t="s">
        <v>133</v>
      </c>
      <c r="S36" s="198" t="s">
        <v>130</v>
      </c>
      <c r="T36" s="525">
        <f>IF(ISNUMBER(G36),G36/$O$10,"")</f>
        <v>2.7000000000000001E-3</v>
      </c>
      <c r="U36" s="526">
        <f>IF(ISNUMBER(H36),H36/$O$10,"")</f>
        <v>2.7000000000000001E-3</v>
      </c>
      <c r="V36" s="526">
        <f>IF(ISNUMBER(I36),I36/$O$10,"")</f>
        <v>2.7000000000000001E-3</v>
      </c>
      <c r="W36" s="526">
        <f>IF(ISNUMBER(J36),J36/$O$10,"")</f>
        <v>2.7000000000000001E-3</v>
      </c>
      <c r="X36" s="527">
        <f>IF(ISNUMBER(K36),K36/$O$10,"")</f>
        <v>2.7000000000000001E-3</v>
      </c>
      <c r="Y36" s="207" t="s">
        <v>138</v>
      </c>
      <c r="Z36" s="207" t="s">
        <v>138</v>
      </c>
      <c r="AA36" s="207" t="s">
        <v>138</v>
      </c>
      <c r="AB36" s="207" t="s">
        <v>138</v>
      </c>
      <c r="AC36" s="208" t="s">
        <v>138</v>
      </c>
      <c r="AD36" s="202">
        <f ca="1">IF(ISNUMBER(T36),IF(ISNUMBER(T$41),(T36^2)/(T$41^2),""),"")</f>
        <v>0.97415649084997413</v>
      </c>
      <c r="AE36" s="203">
        <f t="shared" ref="AE36:AH39" ca="1" si="4">IF(ISNUMBER(U36),IF(ISNUMBER(U$41),(U36^2)/(U$41^2),""),"")</f>
        <v>0.97416792170175071</v>
      </c>
      <c r="AF36" s="203">
        <f t="shared" ca="1" si="4"/>
        <v>0.97424323754899633</v>
      </c>
      <c r="AG36" s="203">
        <f t="shared" ca="1" si="4"/>
        <v>0.97427013888826874</v>
      </c>
      <c r="AH36" s="204">
        <f t="shared" ca="1" si="4"/>
        <v>0.97426408595740499</v>
      </c>
    </row>
    <row r="37" spans="2:34">
      <c r="B37" s="268" t="s">
        <v>140</v>
      </c>
      <c r="C37" s="1012" t="s">
        <v>177</v>
      </c>
      <c r="D37" s="1013"/>
      <c r="E37" s="1013"/>
      <c r="F37" s="1014"/>
      <c r="G37" s="517">
        <f ca="1">IF($AD32 = "", G36, ABS((((YEAR(TODAY())-YEAR($AD32))*12 - MONTH($AD32) + MONTH(TODAY())))*VLOOKUP($L$6,'Cadastro - Padrões Absorbância'!$F$41:$P$43,7,FALSE)))</f>
        <v>1.1818181818181779E-4</v>
      </c>
      <c r="H37" s="517">
        <f ca="1">IF($AD32 = "", H36, ABS((((YEAR(TODAY())-YEAR($AD32))*12 - MONTH($AD32) + MONTH(TODAY())))*VLOOKUP($L$6,'Cadastro - Padrões Absorbância'!$F$41:$P$43,8,FALSE)))</f>
        <v>1.1363636363636247E-4</v>
      </c>
      <c r="I37" s="517">
        <f ca="1">IF($AD32 = "", I36, ABS((((YEAR(TODAY())-YEAR($AD32))*12 - MONTH($AD32) + MONTH(TODAY())))*VLOOKUP($L$6,'Cadastro - Padrões Absorbância'!$F$41:$P$43,9,FALSE)))</f>
        <v>7.7272727272726337E-5</v>
      </c>
      <c r="J37" s="517">
        <f ca="1">IF($AD32 = "", J36, ABS((((YEAR(TODAY())-YEAR($AD32))*12 - MONTH($AD32) + MONTH(TODAY())))*VLOOKUP($L$6,'Cadastro - Padrões Absorbância'!$F$41:$P$43,10,FALSE)))</f>
        <v>5.9090909090907626E-5</v>
      </c>
      <c r="K37" s="517">
        <f ca="1">IF($AD32 = "", K36, ABS((((YEAR(TODAY())-YEAR($AD32))*12 - MONTH($AD32) + MONTH(TODAY())))*VLOOKUP($L$6,'Cadastro - Padrões Absorbância'!$F$41:$P$43,11,FALSE)))</f>
        <v>6.3636363636364196E-5</v>
      </c>
      <c r="L37" s="198" t="s">
        <v>59</v>
      </c>
      <c r="M37" s="256" t="s">
        <v>136</v>
      </c>
      <c r="N37" s="256" t="s">
        <v>137</v>
      </c>
      <c r="O37" s="198">
        <f>SQRT(12)</f>
        <v>3.4641016151377544</v>
      </c>
      <c r="P37" s="256">
        <v>1</v>
      </c>
      <c r="Q37" s="256" t="s">
        <v>130</v>
      </c>
      <c r="R37" s="256" t="s">
        <v>133</v>
      </c>
      <c r="S37" s="198" t="s">
        <v>130</v>
      </c>
      <c r="T37" s="206">
        <f ca="1">IF(ISNUMBER(G37),G37/$O$11,"")</f>
        <v>3.4116152270295958E-5</v>
      </c>
      <c r="U37" s="256">
        <f ca="1">IF(ISNUMBER(H37),H37/$O$11,"")</f>
        <v>3.2803992567592039E-5</v>
      </c>
      <c r="V37" s="256">
        <f ca="1">IF(ISNUMBER(I37),I37/$O$11,"")</f>
        <v>2.2306714945962546E-5</v>
      </c>
      <c r="W37" s="256">
        <f ca="1">IF(ISNUMBER(J37),J37/$O$11,"")</f>
        <v>1.7058076135147613E-5</v>
      </c>
      <c r="X37" s="198">
        <f ca="1">IF(ISNUMBER(K37),K37/$O$11,"")</f>
        <v>1.8370235837851891E-5</v>
      </c>
      <c r="Y37" s="269" t="s">
        <v>138</v>
      </c>
      <c r="Z37" s="269" t="s">
        <v>138</v>
      </c>
      <c r="AA37" s="269" t="s">
        <v>138</v>
      </c>
      <c r="AB37" s="269" t="s">
        <v>138</v>
      </c>
      <c r="AC37" s="208" t="s">
        <v>138</v>
      </c>
      <c r="AD37" s="209">
        <f t="shared" ref="AD37:AD39" ca="1" si="5">IF(ISNUMBER(T37),IF(ISNUMBER(T$41),(T37^2)/(T$41^2),""),"")</f>
        <v>1.5553254860014714E-4</v>
      </c>
      <c r="AE37" s="266">
        <f t="shared" ca="1" si="4"/>
        <v>1.4380027148202509E-4</v>
      </c>
      <c r="AF37" s="266">
        <f t="shared" ca="1" si="4"/>
        <v>6.6498386325765404E-5</v>
      </c>
      <c r="AG37" s="266">
        <f t="shared" ca="1" si="4"/>
        <v>3.8887673374246888E-5</v>
      </c>
      <c r="AH37" s="210">
        <f t="shared" ca="1" si="4"/>
        <v>4.5100216731393322E-5</v>
      </c>
    </row>
    <row r="38" spans="2:34">
      <c r="B38" s="267" t="s">
        <v>129</v>
      </c>
      <c r="C38" s="982" t="s">
        <v>175</v>
      </c>
      <c r="D38" s="983"/>
      <c r="E38" s="983"/>
      <c r="F38" s="984"/>
      <c r="G38" s="196">
        <f>0.00033</f>
        <v>3.3E-4</v>
      </c>
      <c r="H38" s="196">
        <f t="shared" ref="H38:K38" si="6">0.00033</f>
        <v>3.3E-4</v>
      </c>
      <c r="I38" s="196">
        <f t="shared" si="6"/>
        <v>3.3E-4</v>
      </c>
      <c r="J38" s="196">
        <f t="shared" si="6"/>
        <v>3.3E-4</v>
      </c>
      <c r="K38" s="196">
        <f t="shared" si="6"/>
        <v>3.3E-4</v>
      </c>
      <c r="L38" s="198" t="s">
        <v>59</v>
      </c>
      <c r="M38" s="196" t="s">
        <v>131</v>
      </c>
      <c r="N38" s="196" t="s">
        <v>132</v>
      </c>
      <c r="O38" s="198">
        <v>1</v>
      </c>
      <c r="P38" s="196">
        <v>1</v>
      </c>
      <c r="Q38" s="256" t="s">
        <v>130</v>
      </c>
      <c r="R38" s="256" t="s">
        <v>133</v>
      </c>
      <c r="S38" s="198" t="s">
        <v>130</v>
      </c>
      <c r="T38" s="206">
        <f>IF(ISNUMBER(G38),G38/$O$12,"")</f>
        <v>3.3E-4</v>
      </c>
      <c r="U38" s="256">
        <f>IF(ISNUMBER(H38),H38/$O$12,"")</f>
        <v>3.3E-4</v>
      </c>
      <c r="V38" s="256">
        <f>IF(ISNUMBER(I38),I38/$O$12,"")</f>
        <v>3.3E-4</v>
      </c>
      <c r="W38" s="256">
        <f>IF(ISNUMBER(J38),J38/$O$12,"")</f>
        <v>3.3E-4</v>
      </c>
      <c r="X38" s="198">
        <f>IF(ISNUMBER(K38),K38/$O$12,"")</f>
        <v>3.3E-4</v>
      </c>
      <c r="Y38" s="201">
        <f>VLOOKUP($I32,'Registro Tratado'!$F$362:$R$400, 9, FALSE) - 1</f>
        <v>3</v>
      </c>
      <c r="Z38" s="201">
        <f>VLOOKUP($I32,'Registro Tratado'!$F$362:$R$400, 10, FALSE) - 1</f>
        <v>3</v>
      </c>
      <c r="AA38" s="201">
        <f>VLOOKUP($I32,'Registro Tratado'!$F$362:$R$400, 11, FALSE) - 1</f>
        <v>3</v>
      </c>
      <c r="AB38" s="201">
        <f>VLOOKUP($I32,'Registro Tratado'!$F$362:$R$400, 12, FALSE) - 1</f>
        <v>3</v>
      </c>
      <c r="AC38" s="201">
        <f>VLOOKUP($I32,'Registro Tratado'!$F$362:$R$400, 13, FALSE) - 1</f>
        <v>3</v>
      </c>
      <c r="AD38" s="209">
        <f t="shared" ca="1" si="5"/>
        <v>1.4552214246030478E-2</v>
      </c>
      <c r="AE38" s="266">
        <f t="shared" ca="1" si="4"/>
        <v>1.4552385003198991E-2</v>
      </c>
      <c r="AF38" s="266">
        <f t="shared" ca="1" si="4"/>
        <v>1.4553510091781302E-2</v>
      </c>
      <c r="AG38" s="266">
        <f t="shared" ca="1" si="4"/>
        <v>1.455391195129389E-2</v>
      </c>
      <c r="AH38" s="210">
        <f t="shared" ca="1" si="4"/>
        <v>1.4553821530968642E-2</v>
      </c>
    </row>
    <row r="39" spans="2:34" ht="15.75" thickBot="1">
      <c r="B39" s="205" t="s">
        <v>134</v>
      </c>
      <c r="C39" s="973" t="s">
        <v>135</v>
      </c>
      <c r="D39" s="974"/>
      <c r="E39" s="974"/>
      <c r="F39" s="975"/>
      <c r="G39" s="213">
        <f>IF(ISNUMBER('Registro Original'!$G$46),'Registro Original'!$G$46,"")</f>
        <v>1E-3</v>
      </c>
      <c r="H39" s="213">
        <f>IF(ISNUMBER('Registro Original'!$G$46),'Registro Original'!$G$46,"")</f>
        <v>1E-3</v>
      </c>
      <c r="I39" s="213">
        <f>IF(ISNUMBER('Registro Original'!$G$46),'Registro Original'!$G$46,"")</f>
        <v>1E-3</v>
      </c>
      <c r="J39" s="213">
        <f>IF(ISNUMBER('Registro Original'!$G$46),'Registro Original'!$G$46,"")</f>
        <v>1E-3</v>
      </c>
      <c r="K39" s="213">
        <f>IF(ISNUMBER('Registro Original'!$G$46),'Registro Original'!$G$46,"")</f>
        <v>1E-3</v>
      </c>
      <c r="L39" s="212" t="s">
        <v>59</v>
      </c>
      <c r="M39" s="213" t="s">
        <v>136</v>
      </c>
      <c r="N39" s="213" t="s">
        <v>137</v>
      </c>
      <c r="O39" s="212">
        <f>SQRT(12)</f>
        <v>3.4641016151377544</v>
      </c>
      <c r="P39" s="213">
        <v>1</v>
      </c>
      <c r="Q39" s="213" t="s">
        <v>130</v>
      </c>
      <c r="R39" s="213" t="s">
        <v>133</v>
      </c>
      <c r="S39" s="212" t="s">
        <v>130</v>
      </c>
      <c r="T39" s="214">
        <f>IF(ISNUMBER(G39),G39/$O$13,"")</f>
        <v>2.886751345948129E-4</v>
      </c>
      <c r="U39" s="213">
        <f>IF(ISNUMBER(H39),H39/$O$13,"")</f>
        <v>2.886751345948129E-4</v>
      </c>
      <c r="V39" s="213">
        <f>IF(ISNUMBER(I39),I39/$O$13,"")</f>
        <v>2.886751345948129E-4</v>
      </c>
      <c r="W39" s="213">
        <f>IF(ISNUMBER(J39),J39/$O$13,"")</f>
        <v>2.886751345948129E-4</v>
      </c>
      <c r="X39" s="212">
        <f>IF(ISNUMBER(K39),K39/$O$13,"")</f>
        <v>2.886751345948129E-4</v>
      </c>
      <c r="Y39" s="207" t="s">
        <v>138</v>
      </c>
      <c r="Z39" s="207" t="s">
        <v>138</v>
      </c>
      <c r="AA39" s="207" t="s">
        <v>138</v>
      </c>
      <c r="AB39" s="207" t="s">
        <v>138</v>
      </c>
      <c r="AC39" s="208" t="s">
        <v>138</v>
      </c>
      <c r="AD39" s="215">
        <f t="shared" ca="1" si="5"/>
        <v>1.1135762355395224E-2</v>
      </c>
      <c r="AE39" s="216">
        <f t="shared" ca="1" si="4"/>
        <v>1.1135893023568252E-2</v>
      </c>
      <c r="AF39" s="216">
        <f t="shared" ca="1" si="4"/>
        <v>1.113675397289662E-2</v>
      </c>
      <c r="AG39" s="216">
        <f t="shared" ca="1" si="4"/>
        <v>1.1137061487062972E-2</v>
      </c>
      <c r="AH39" s="217">
        <f t="shared" ca="1" si="4"/>
        <v>1.113699229489489E-2</v>
      </c>
    </row>
    <row r="40" spans="2:34" ht="15.75" thickBot="1">
      <c r="B40" s="218"/>
      <c r="C40" s="219"/>
      <c r="D40" s="219"/>
      <c r="E40" s="219"/>
      <c r="F40" s="219"/>
      <c r="G40" s="196"/>
      <c r="H40" s="196"/>
      <c r="I40" s="196"/>
      <c r="J40" s="196"/>
      <c r="K40" s="196"/>
      <c r="L40" s="196"/>
      <c r="M40" s="196"/>
      <c r="N40" s="196"/>
      <c r="O40" s="196"/>
      <c r="P40" s="196"/>
      <c r="Q40" s="196"/>
      <c r="R40" s="196"/>
      <c r="S40" s="196"/>
      <c r="T40" s="196"/>
      <c r="U40" s="196"/>
      <c r="V40" s="196"/>
      <c r="W40" s="196"/>
      <c r="X40" s="196"/>
      <c r="Y40" s="976" t="s">
        <v>141</v>
      </c>
      <c r="Z40" s="977"/>
      <c r="AA40" s="977"/>
      <c r="AB40" s="977"/>
      <c r="AC40" s="978"/>
      <c r="AD40" s="196"/>
      <c r="AE40" s="196"/>
      <c r="AF40" s="196"/>
      <c r="AG40" s="196"/>
      <c r="AH40" s="196"/>
    </row>
    <row r="41" spans="2:34" ht="15.75" thickBot="1">
      <c r="B41" s="195" t="s">
        <v>142</v>
      </c>
      <c r="C41" s="993" t="s">
        <v>143</v>
      </c>
      <c r="D41" s="993"/>
      <c r="E41" s="993"/>
      <c r="F41" s="993"/>
      <c r="G41" s="993"/>
      <c r="H41" s="993"/>
      <c r="I41" s="993"/>
      <c r="J41" s="993"/>
      <c r="K41" s="993"/>
      <c r="L41" s="993"/>
      <c r="M41" s="993"/>
      <c r="N41" s="993"/>
      <c r="O41" s="993"/>
      <c r="P41" s="993"/>
      <c r="Q41" s="993"/>
      <c r="R41" s="994"/>
      <c r="S41" s="220" t="s">
        <v>130</v>
      </c>
      <c r="T41" s="221">
        <f ca="1" xml:space="preserve"> IF(ISNUMBER(T38),SQRT(SUMSQ($P38*T38,$P39*T39,$P36*T36,$P37*T37)),"")</f>
        <v>2.7355798736609874E-3</v>
      </c>
      <c r="U41" s="222">
        <f ca="1" xml:space="preserve"> IF(ISNUMBER(U38),SQRT(SUMSQ($P38*U38,$P39*U39,$P36*U36,$P37*U37)),"")</f>
        <v>2.735563824015391E-3</v>
      </c>
      <c r="V41" s="222">
        <f ca="1" xml:space="preserve"> IF(ISNUMBER(V38),SQRT(SUMSQ($P38*V38,$P39*V39,$P36*V36,$P37*V37)),"")</f>
        <v>2.7354580828199532E-3</v>
      </c>
      <c r="W41" s="222">
        <f ca="1" xml:space="preserve"> IF(ISNUMBER(W38),SQRT(SUMSQ($P38*W38,$P39*W39,$P36*W36,$P37*W37)),"")</f>
        <v>2.7354203171166889E-3</v>
      </c>
      <c r="X41" s="223">
        <f ca="1" xml:space="preserve"> IF(ISNUMBER(X38),SQRT(SUMSQ($P38*X38,$P39*X39,$P36*X36,$P37*X37)),"")</f>
        <v>2.7354288144453829E-3</v>
      </c>
      <c r="Y41" s="531">
        <f ca="1">IF(Y38="","",IF(T38 = 0, "∞", IF((T41^4)/((T38^4)/Y38) &gt; 1000000, "∞", (T41^4)/((T38^4)/Y38))))</f>
        <v>14166.517245875637</v>
      </c>
      <c r="Z41" s="532">
        <f ca="1">IF(Z38="","",IF(U38 = 0, "∞", IF((U41^4)/((U38^4)/Z38) &gt; 1000000, "∞", (U41^4)/((U38^4)/Z38))))</f>
        <v>14166.184789006245</v>
      </c>
      <c r="AA41" s="532">
        <f ca="1">IF(AA38="","",IF(V38 = 0, "∞", IF((V41^4)/((V38^4)/AA38) &gt; 1000000, "∞", (V41^4)/((V38^4)/AA38))))</f>
        <v>14163.994582438536</v>
      </c>
      <c r="AB41" s="532">
        <f ca="1">IF(AB38="","",IF(W38 = 0, "∞", IF((W41^4)/((W38^4)/AB38) &gt; 1000000, "∞", (W41^4)/((W38^4)/AB38))))</f>
        <v>14163.212406842587</v>
      </c>
      <c r="AC41" s="533">
        <f ca="1">IF(AC38="","",IF(V38 = 0, "∞", IF((V41^4)/((V38^4)/AC38) &gt; 1000000, "∞", (V41^4)/((V38^4)/AC38))))</f>
        <v>14163.994582438536</v>
      </c>
      <c r="AD41" s="218"/>
      <c r="AE41" s="218"/>
      <c r="AF41" s="218"/>
      <c r="AG41" s="218"/>
      <c r="AH41" s="218"/>
    </row>
    <row r="42" spans="2:34">
      <c r="B42" s="205" t="s">
        <v>144</v>
      </c>
      <c r="C42" s="985" t="s">
        <v>467</v>
      </c>
      <c r="D42" s="985"/>
      <c r="E42" s="985"/>
      <c r="F42" s="985"/>
      <c r="G42" s="985"/>
      <c r="H42" s="985"/>
      <c r="I42" s="985"/>
      <c r="J42" s="985"/>
      <c r="K42" s="985"/>
      <c r="L42" s="985"/>
      <c r="M42" s="985"/>
      <c r="N42" s="985"/>
      <c r="O42" s="985"/>
      <c r="P42" s="985"/>
      <c r="Q42" s="985"/>
      <c r="R42" s="986"/>
      <c r="S42" s="224" t="s">
        <v>130</v>
      </c>
      <c r="T42" s="225">
        <f ca="1">IF(ISNUMBER(Y43),T41*Y43,"")</f>
        <v>5.4716492481965929E-3</v>
      </c>
      <c r="U42" s="226">
        <f ca="1">IF(ISNUMBER(Z43),U41*Z43,"")</f>
        <v>5.4716171460334985E-3</v>
      </c>
      <c r="V42" s="226">
        <f ca="1">IF(ISNUMBER(AA43),V41*AA43,"")</f>
        <v>5.4714057469937606E-3</v>
      </c>
      <c r="W42" s="226">
        <f ca="1">IF(ISNUMBER(AB43),W41*AB43,"")</f>
        <v>5.4713302088280772E-3</v>
      </c>
      <c r="X42" s="226">
        <f ca="1">IF(ISNUMBER(AC43),X41*AC43,"")</f>
        <v>5.4713472050062833E-3</v>
      </c>
      <c r="Y42" s="976" t="s">
        <v>146</v>
      </c>
      <c r="Z42" s="977"/>
      <c r="AA42" s="977"/>
      <c r="AB42" s="977"/>
      <c r="AC42" s="978"/>
      <c r="AD42" s="218"/>
      <c r="AE42" s="218"/>
      <c r="AF42" s="218"/>
      <c r="AG42" s="218"/>
      <c r="AH42" s="218"/>
    </row>
    <row r="43" spans="2:34" ht="15.75" thickBot="1">
      <c r="B43" s="211" t="s">
        <v>144</v>
      </c>
      <c r="C43" s="987" t="s">
        <v>147</v>
      </c>
      <c r="D43" s="987"/>
      <c r="E43" s="987"/>
      <c r="F43" s="987"/>
      <c r="G43" s="987"/>
      <c r="H43" s="987"/>
      <c r="I43" s="987"/>
      <c r="J43" s="987"/>
      <c r="K43" s="987"/>
      <c r="L43" s="987"/>
      <c r="M43" s="987"/>
      <c r="N43" s="987"/>
      <c r="O43" s="987"/>
      <c r="P43" s="987"/>
      <c r="Q43" s="987"/>
      <c r="R43" s="988"/>
      <c r="S43" s="227" t="s">
        <v>130</v>
      </c>
      <c r="T43" s="518">
        <f ca="1">IF(ISNUMBER(T42), IF(((T42-ROUNDDOWN(T42,2))/T42)*100 &gt; 5,ROUNDUP(T42,2), ROUNDDOWN(T42,2)),"")</f>
        <v>0.01</v>
      </c>
      <c r="U43" s="518">
        <f ca="1">IF(ISNUMBER(U42), IF(((U42-ROUNDDOWN(U42,2))/U42)*100 &gt; 5,ROUNDUP(U42,2), ROUNDDOWN(U42,2)),"")</f>
        <v>0.01</v>
      </c>
      <c r="V43" s="518">
        <f ca="1">IF(ISNUMBER(V42), IF(((V42-ROUNDDOWN(V42,2))/V42)*100 &gt; 5,ROUNDUP(V42,2), ROUNDDOWN(V42,2)),"")</f>
        <v>0.01</v>
      </c>
      <c r="W43" s="518">
        <f ca="1">IF(ISNUMBER(W42), IF(((W42-ROUNDDOWN(W42,2))/W42)*100 &gt; 5,ROUNDUP(W42,2), ROUNDDOWN(W42,2)),"")</f>
        <v>0.01</v>
      </c>
      <c r="X43" s="518">
        <f ca="1">IF(ISNUMBER(X42), IF(((X42-ROUNDDOWN(X42,2))/X42)*100 &gt; 5,ROUNDUP(X42,2), ROUNDDOWN(X42,2)),"")</f>
        <v>0.01</v>
      </c>
      <c r="Y43" s="480">
        <f ca="1">IF(Y41 ="∞", 2, IF(ISNUMBER(Y41), IF(Y41 &gt; 1000000, 2,_xlfn.T.INV.2T(1-0.9545,Y41))))</f>
        <v>2.0001789386152935</v>
      </c>
      <c r="Z43" s="481">
        <f ca="1">IF(Z41 ="∞", 2, IF(ISNUMBER(Z41), IF(Z41 &gt; 1000000, 2,_xlfn.T.INV.2T(1-0.9545,Z41))))</f>
        <v>2.0001789386152935</v>
      </c>
      <c r="AA43" s="481">
        <f ca="1">IF(AA41 ="∞", 2, IF(ISNUMBER(AA41), IF(AA41 &gt; 1000000, 2,_xlfn.T.INV.2T(1-0.9545,AA41))))</f>
        <v>2.0001789760029332</v>
      </c>
      <c r="AB43" s="481">
        <f ca="1">IF(AB41 ="∞", 2, IF(ISNUMBER(AB41), IF(AB41 &gt; 1000000, 2,_xlfn.T.INV.2T(1-0.9545,AB41))))</f>
        <v>2.0001789760029332</v>
      </c>
      <c r="AC43" s="482">
        <f ca="1">IF(AC41 ="∞", 2, IF(ISNUMBER(AC41), IF(AC41 &gt; 1000000, 2,_xlfn.T.INV.2T(1-0.9545,AC41))))</f>
        <v>2.0001789760029332</v>
      </c>
      <c r="AD43" s="218"/>
      <c r="AE43" s="218"/>
      <c r="AF43" s="218"/>
      <c r="AG43" s="218"/>
      <c r="AH43" s="218"/>
    </row>
    <row r="46" spans="2:34">
      <c r="B46" s="1018" t="s">
        <v>432</v>
      </c>
      <c r="C46" s="1018"/>
      <c r="D46" s="1018"/>
      <c r="E46" s="1018"/>
      <c r="F46" s="1018"/>
      <c r="G46" s="1018"/>
      <c r="H46" s="1018"/>
      <c r="I46" s="1018"/>
      <c r="J46" s="1018"/>
      <c r="K46" s="1018"/>
      <c r="L46" s="1018"/>
      <c r="M46" s="1018"/>
      <c r="N46" s="1018"/>
      <c r="O46" s="1018"/>
      <c r="P46" s="1018"/>
      <c r="Q46" s="1018"/>
      <c r="R46" s="1018"/>
      <c r="S46" s="1018"/>
      <c r="T46" s="1018"/>
      <c r="U46" s="1018"/>
      <c r="V46" s="1018"/>
      <c r="W46" s="1018"/>
      <c r="X46" s="1018"/>
      <c r="Y46" s="1018"/>
      <c r="Z46" s="1018"/>
      <c r="AA46" s="1018"/>
      <c r="AB46" s="1018"/>
      <c r="AC46" s="1018"/>
      <c r="AD46" s="1018"/>
      <c r="AE46" s="1018"/>
      <c r="AF46" s="1018"/>
      <c r="AG46" s="1018"/>
      <c r="AH46" s="1018"/>
    </row>
    <row r="47" spans="2:34" ht="15.75" thickBot="1"/>
    <row r="48" spans="2:34" ht="15.75" thickBot="1">
      <c r="B48" s="729" t="s">
        <v>149</v>
      </c>
      <c r="C48" s="1009" t="s">
        <v>148</v>
      </c>
      <c r="D48" s="1009"/>
      <c r="E48" s="1009"/>
      <c r="F48" s="728" t="s">
        <v>62</v>
      </c>
      <c r="G48" s="727" t="s">
        <v>63</v>
      </c>
      <c r="H48" s="728" t="s">
        <v>116</v>
      </c>
      <c r="I48" s="727" t="str">
        <f>IF($L48 = 0.25, 'Cadastro - Padrões Absorbância'!D$16, IF($L48 = 0.5, 'Cadastro - Padrões Absorbância'!D$15, 'Cadastro - Padrões Absorbância'!D$14))</f>
        <v>44599-1N</v>
      </c>
      <c r="J48" s="1011" t="s">
        <v>314</v>
      </c>
      <c r="K48" s="1011"/>
      <c r="L48" s="512">
        <v>1</v>
      </c>
      <c r="M48" s="1011" t="s">
        <v>162</v>
      </c>
      <c r="N48" s="1011"/>
      <c r="O48" s="253">
        <f>IF($AA48 = 1, VLOOKUP($I48,'Cadastro - Padrões Absorbância'!$D$7:$K$9,4,FALSE), IF($AA48 = 5, VLOOKUP($I48,'Cadastro - Padrões Absorbância'!$D$10:$K$12, 4,FALSE)))</f>
        <v>1.0061</v>
      </c>
      <c r="P48" s="253">
        <f>IF($AA48 = 1, VLOOKUP($I48,'Cadastro - Padrões Absorbância'!$D$7:$K$9,5,FALSE), IF($AA48 = 5, VLOOKUP($I48,'Cadastro - Padrões Absorbância'!$D$10:$K$12, 5,FALSE)))</f>
        <v>0.95569999999999999</v>
      </c>
      <c r="Q48" s="253">
        <f>IF($AA48 = 1, VLOOKUP($I48,'Cadastro - Padrões Absorbância'!$D$7:$K$9,6,FALSE), IF($AA48 = 5, VLOOKUP($I48,'Cadastro - Padrões Absorbância'!$D$10:$K$12, 6,FALSE)))</f>
        <v>1.0014000000000001</v>
      </c>
      <c r="R48" s="253">
        <f>IF($AA48 = 1, VLOOKUP($I48,'Cadastro - Padrões Absorbância'!$D$7:$K$9,7,FALSE), IF($AA48 = 5, VLOOKUP($I48,'Cadastro - Padrões Absorbância'!$D$10:$K$12, 7,FALSE)))</f>
        <v>1.0978000000000001</v>
      </c>
      <c r="S48" s="253">
        <f>IF($AA48 = 1, VLOOKUP($I48,'Cadastro - Padrões Absorbância'!$D$7:$K$9,8,FALSE), IF($AA48 = 5, VLOOKUP($I48,'Cadastro - Padrões Absorbância'!$D$10:$K$12, 8,FALSE)))</f>
        <v>1.0900000000000001</v>
      </c>
      <c r="T48" s="1017" t="str">
        <f xml:space="preserve"> CONCATENATE("Densidade neutra ", L48, " A")</f>
        <v>Densidade neutra 1 A</v>
      </c>
      <c r="U48" s="1010"/>
      <c r="V48" s="271" t="s">
        <v>176</v>
      </c>
      <c r="W48" s="1010" t="str">
        <f>CONCATENATE(L48, " A", " – ",I48)</f>
        <v>1 A – 44599-1N</v>
      </c>
      <c r="X48" s="1015"/>
      <c r="Y48" s="1016" t="s">
        <v>164</v>
      </c>
      <c r="Z48" s="1011"/>
      <c r="AA48" s="491">
        <v>1</v>
      </c>
      <c r="AB48" s="1011" t="s">
        <v>307</v>
      </c>
      <c r="AC48" s="1011"/>
      <c r="AD48" s="493">
        <f>VLOOKUP($I48,'Cadastro - Padrões Absorbância'!$D$7:$Q$12,14,FALSE)</f>
        <v>44414</v>
      </c>
      <c r="AE48" s="254"/>
      <c r="AF48" s="254"/>
      <c r="AG48" s="254"/>
      <c r="AH48" s="272"/>
    </row>
    <row r="49" spans="2:34" ht="3.75" customHeight="1" thickBot="1">
      <c r="B49" s="185"/>
      <c r="C49" s="185"/>
      <c r="D49" s="186"/>
      <c r="E49" s="186"/>
      <c r="F49" s="185"/>
      <c r="G49" s="186"/>
      <c r="H49" s="185"/>
      <c r="I49" s="186"/>
      <c r="J49" s="186"/>
      <c r="K49" s="186"/>
      <c r="L49" s="185"/>
      <c r="M49" s="185"/>
      <c r="N49" s="185"/>
      <c r="O49" s="187"/>
      <c r="P49" s="188"/>
      <c r="Q49" s="188"/>
      <c r="R49" s="189"/>
      <c r="S49" s="189"/>
      <c r="AH49" s="270"/>
    </row>
    <row r="50" spans="2:34" ht="15.75" thickBot="1">
      <c r="B50" s="998" t="s">
        <v>117</v>
      </c>
      <c r="C50" s="999"/>
      <c r="D50" s="999"/>
      <c r="E50" s="999"/>
      <c r="F50" s="999"/>
      <c r="G50" s="999"/>
      <c r="H50" s="999"/>
      <c r="I50" s="999"/>
      <c r="J50" s="999"/>
      <c r="K50" s="999"/>
      <c r="L50" s="999"/>
      <c r="M50" s="999"/>
      <c r="N50" s="999"/>
      <c r="O50" s="1000"/>
      <c r="P50" s="995" t="s">
        <v>118</v>
      </c>
      <c r="Q50" s="996"/>
      <c r="R50" s="996"/>
      <c r="S50" s="997"/>
      <c r="T50" s="976" t="s">
        <v>119</v>
      </c>
      <c r="U50" s="977"/>
      <c r="V50" s="977"/>
      <c r="W50" s="977"/>
      <c r="X50" s="978"/>
      <c r="Y50" s="976" t="s">
        <v>120</v>
      </c>
      <c r="Z50" s="977"/>
      <c r="AA50" s="977"/>
      <c r="AB50" s="977"/>
      <c r="AC50" s="978"/>
      <c r="AD50" s="976" t="s">
        <v>121</v>
      </c>
      <c r="AE50" s="977"/>
      <c r="AF50" s="977"/>
      <c r="AG50" s="977"/>
      <c r="AH50" s="978"/>
    </row>
    <row r="51" spans="2:34" ht="15.75" thickBot="1">
      <c r="B51" s="190" t="s">
        <v>122</v>
      </c>
      <c r="C51" s="998" t="s">
        <v>123</v>
      </c>
      <c r="D51" s="999"/>
      <c r="E51" s="999"/>
      <c r="F51" s="1000"/>
      <c r="G51" s="176">
        <v>440</v>
      </c>
      <c r="H51" s="176">
        <v>465</v>
      </c>
      <c r="I51" s="176">
        <v>546.1</v>
      </c>
      <c r="J51" s="176">
        <v>590</v>
      </c>
      <c r="K51" s="177">
        <v>635</v>
      </c>
      <c r="L51" s="726" t="s">
        <v>124</v>
      </c>
      <c r="M51" s="192" t="s">
        <v>125</v>
      </c>
      <c r="N51" s="193" t="s">
        <v>126</v>
      </c>
      <c r="O51" s="192" t="s">
        <v>127</v>
      </c>
      <c r="P51" s="194" t="s">
        <v>128</v>
      </c>
      <c r="Q51" s="1001" t="s">
        <v>124</v>
      </c>
      <c r="R51" s="1002"/>
      <c r="S51" s="1003"/>
      <c r="T51" s="257" t="s">
        <v>166</v>
      </c>
      <c r="U51" s="258" t="s">
        <v>167</v>
      </c>
      <c r="V51" s="258" t="s">
        <v>168</v>
      </c>
      <c r="W51" s="258" t="s">
        <v>169</v>
      </c>
      <c r="X51" s="259" t="s">
        <v>170</v>
      </c>
      <c r="Y51" s="257" t="s">
        <v>166</v>
      </c>
      <c r="Z51" s="258" t="s">
        <v>167</v>
      </c>
      <c r="AA51" s="258" t="s">
        <v>168</v>
      </c>
      <c r="AB51" s="258" t="s">
        <v>169</v>
      </c>
      <c r="AC51" s="259" t="s">
        <v>170</v>
      </c>
      <c r="AD51" s="257" t="s">
        <v>166</v>
      </c>
      <c r="AE51" s="258" t="s">
        <v>167</v>
      </c>
      <c r="AF51" s="258" t="s">
        <v>168</v>
      </c>
      <c r="AG51" s="258" t="s">
        <v>169</v>
      </c>
      <c r="AH51" s="259" t="s">
        <v>170</v>
      </c>
    </row>
    <row r="52" spans="2:34">
      <c r="B52" s="205" t="s">
        <v>139</v>
      </c>
      <c r="C52" s="982" t="s">
        <v>165</v>
      </c>
      <c r="D52" s="992"/>
      <c r="E52" s="992"/>
      <c r="F52" s="984"/>
      <c r="G52" s="513">
        <f>IF($AA48 = 1, VLOOKUP($I48,'Cadastro - Padrões Absorbância'!$D$7:$P$9,9,FALSE), IF($AA48 = 5, VLOOKUP($I48,'Cadastro - Padrões Absorbância'!$D$10:$P$12, 9,FALSE)))</f>
        <v>5.4000000000000003E-3</v>
      </c>
      <c r="H52" s="513">
        <f>IF($AA48 = 1, VLOOKUP($I48,'Cadastro - Padrões Absorbância'!$D$7:$P$9,10,FALSE), IF($AA48 = 5, VLOOKUP($I48,'Cadastro - Padrões Absorbância'!$D$10:$P$12, 10,FALSE)))</f>
        <v>5.4000000000000003E-3</v>
      </c>
      <c r="I52" s="513">
        <f>IF($AA48 = 1, VLOOKUP($I48,'Cadastro - Padrões Absorbância'!$D$7:$P$9,11,FALSE), IF($AA48 = 5, VLOOKUP($I48,'Cadastro - Padrões Absorbância'!$D$10:$P$12, 11,FALSE)))</f>
        <v>5.4000000000000003E-3</v>
      </c>
      <c r="J52" s="513">
        <f>IF($AA48 = 1, VLOOKUP($I48,'Cadastro - Padrões Absorbância'!$D$7:$P$9,12,FALSE), IF($AA48 = 5, VLOOKUP($I48,'Cadastro - Padrões Absorbância'!$D$10:$P$12, 12,FALSE)))</f>
        <v>5.4000000000000003E-3</v>
      </c>
      <c r="K52" s="513">
        <f>IF($AA48 = 1, VLOOKUP($I48,'Cadastro - Padrões Absorbância'!$D$7:$P$9,13,FALSE), IF($AA48 = 5, VLOOKUP($I48,'Cadastro - Padrões Absorbância'!$D$10:$P$12, 13,FALSE)))</f>
        <v>5.4000000000000003E-3</v>
      </c>
      <c r="L52" s="198" t="s">
        <v>59</v>
      </c>
      <c r="M52" s="196" t="s">
        <v>136</v>
      </c>
      <c r="N52" s="196" t="s">
        <v>132</v>
      </c>
      <c r="O52" s="198">
        <v>2</v>
      </c>
      <c r="P52" s="196">
        <v>1</v>
      </c>
      <c r="Q52" s="196" t="s">
        <v>130</v>
      </c>
      <c r="R52" s="196" t="s">
        <v>133</v>
      </c>
      <c r="S52" s="198" t="s">
        <v>130</v>
      </c>
      <c r="T52" s="525">
        <f>IF(ISNUMBER(G52),G52/$O$10,"")</f>
        <v>2.7000000000000001E-3</v>
      </c>
      <c r="U52" s="526">
        <f>IF(ISNUMBER(H52),H52/$O$10,"")</f>
        <v>2.7000000000000001E-3</v>
      </c>
      <c r="V52" s="526">
        <f>IF(ISNUMBER(I52),I52/$O$10,"")</f>
        <v>2.7000000000000001E-3</v>
      </c>
      <c r="W52" s="526">
        <f>IF(ISNUMBER(J52),J52/$O$10,"")</f>
        <v>2.7000000000000001E-3</v>
      </c>
      <c r="X52" s="527">
        <f>IF(ISNUMBER(K52),K52/$O$10,"")</f>
        <v>2.7000000000000001E-3</v>
      </c>
      <c r="Y52" s="207" t="s">
        <v>138</v>
      </c>
      <c r="Z52" s="207" t="s">
        <v>138</v>
      </c>
      <c r="AA52" s="207" t="s">
        <v>138</v>
      </c>
      <c r="AB52" s="207" t="s">
        <v>138</v>
      </c>
      <c r="AC52" s="208" t="s">
        <v>138</v>
      </c>
      <c r="AD52" s="202">
        <f ca="1">IF(ISNUMBER(T52),IF(ISNUMBER(T$57),(T52^2)/(T$57^2),""),"")</f>
        <v>0.95612861616672329</v>
      </c>
      <c r="AE52" s="203">
        <f t="shared" ref="AE52:AH55" ca="1" si="7">IF(ISNUMBER(U52),IF(ISNUMBER(U$57),(U52^2)/(U$57^2),""),"")</f>
        <v>0.87050914531409951</v>
      </c>
      <c r="AF52" s="203">
        <f t="shared" ca="1" si="7"/>
        <v>0.87931995893769799</v>
      </c>
      <c r="AG52" s="203">
        <f t="shared" ca="1" si="7"/>
        <v>0.77771412187021227</v>
      </c>
      <c r="AH52" s="204">
        <f t="shared" ca="1" si="7"/>
        <v>0.90667836160132664</v>
      </c>
    </row>
    <row r="53" spans="2:34">
      <c r="B53" s="268" t="s">
        <v>140</v>
      </c>
      <c r="C53" s="1012" t="s">
        <v>177</v>
      </c>
      <c r="D53" s="1013"/>
      <c r="E53" s="1013"/>
      <c r="F53" s="1014"/>
      <c r="G53" s="517">
        <f ca="1">IF($AD48 = "", G52, ABS((((YEAR(TODAY())-YEAR($AD48))*12 - MONTH($AD48) + MONTH(TODAY())))*VLOOKUP($L$6,'Cadastro - Padrões Absorbância'!$F$41:$P$43,7,FALSE)))</f>
        <v>1.1818181818181779E-4</v>
      </c>
      <c r="H53" s="517">
        <f ca="1">IF($AD48 = "", H52, ABS((((YEAR(TODAY())-YEAR($AD48))*12 - MONTH($AD48) + MONTH(TODAY())))*VLOOKUP($L$6,'Cadastro - Padrões Absorbância'!$F$41:$P$43,8,FALSE)))</f>
        <v>1.1363636363636247E-4</v>
      </c>
      <c r="I53" s="517">
        <f ca="1">IF($AD48 = "", I52, ABS((((YEAR(TODAY())-YEAR($AD48))*12 - MONTH($AD48) + MONTH(TODAY())))*VLOOKUP($L$6,'Cadastro - Padrões Absorbância'!$F$41:$P$43,9,FALSE)))</f>
        <v>7.7272727272726337E-5</v>
      </c>
      <c r="J53" s="517">
        <f ca="1">IF($AD48 = "", J52, ABS((((YEAR(TODAY())-YEAR($AD48))*12 - MONTH($AD48) + MONTH(TODAY())))*VLOOKUP($L$6,'Cadastro - Padrões Absorbância'!$F$41:$P$43,10,FALSE)))</f>
        <v>5.9090909090907626E-5</v>
      </c>
      <c r="K53" s="517">
        <f ca="1">IF($AD48 = "", K52, ABS((((YEAR(TODAY())-YEAR($AD48))*12 - MONTH($AD48) + MONTH(TODAY())))*VLOOKUP($L$6,'Cadastro - Padrões Absorbância'!$F$41:$P$43,11,FALSE)))</f>
        <v>6.3636363636364196E-5</v>
      </c>
      <c r="L53" s="198" t="s">
        <v>59</v>
      </c>
      <c r="M53" s="256" t="s">
        <v>136</v>
      </c>
      <c r="N53" s="256" t="s">
        <v>137</v>
      </c>
      <c r="O53" s="198">
        <f>SQRT(12)</f>
        <v>3.4641016151377544</v>
      </c>
      <c r="P53" s="256">
        <v>1</v>
      </c>
      <c r="Q53" s="256" t="s">
        <v>130</v>
      </c>
      <c r="R53" s="256" t="s">
        <v>133</v>
      </c>
      <c r="S53" s="198" t="s">
        <v>130</v>
      </c>
      <c r="T53" s="206">
        <f ca="1">IF(ISNUMBER(G53),G53/$O$11,"")</f>
        <v>3.4116152270295958E-5</v>
      </c>
      <c r="U53" s="256">
        <f ca="1">IF(ISNUMBER(H53),H53/$O$11,"")</f>
        <v>3.2803992567592039E-5</v>
      </c>
      <c r="V53" s="256">
        <f ca="1">IF(ISNUMBER(I53),I53/$O$11,"")</f>
        <v>2.2306714945962546E-5</v>
      </c>
      <c r="W53" s="256">
        <f ca="1">IF(ISNUMBER(J53),J53/$O$11,"")</f>
        <v>1.7058076135147613E-5</v>
      </c>
      <c r="X53" s="198">
        <f ca="1">IF(ISNUMBER(K53),K53/$O$11,"")</f>
        <v>1.8370235837851891E-5</v>
      </c>
      <c r="Y53" s="269" t="s">
        <v>138</v>
      </c>
      <c r="Z53" s="269" t="s">
        <v>138</v>
      </c>
      <c r="AA53" s="269" t="s">
        <v>138</v>
      </c>
      <c r="AB53" s="269" t="s">
        <v>138</v>
      </c>
      <c r="AC53" s="208" t="s">
        <v>138</v>
      </c>
      <c r="AD53" s="209">
        <f t="shared" ref="AD53:AD55" ca="1" si="8">IF(ISNUMBER(T53),IF(ISNUMBER(T$57),(T53^2)/(T$57^2),""),"")</f>
        <v>1.5265424175554192E-4</v>
      </c>
      <c r="AE53" s="266">
        <f t="shared" ca="1" si="7"/>
        <v>1.2849884361320393E-4</v>
      </c>
      <c r="AF53" s="266">
        <f t="shared" ca="1" si="7"/>
        <v>6.0019260159816598E-5</v>
      </c>
      <c r="AG53" s="266">
        <f t="shared" ca="1" si="7"/>
        <v>3.1042204356523374E-5</v>
      </c>
      <c r="AH53" s="210">
        <f t="shared" ca="1" si="7"/>
        <v>4.1971567261150401E-5</v>
      </c>
    </row>
    <row r="54" spans="2:34">
      <c r="B54" s="267" t="s">
        <v>129</v>
      </c>
      <c r="C54" s="982" t="s">
        <v>175</v>
      </c>
      <c r="D54" s="983"/>
      <c r="E54" s="983"/>
      <c r="F54" s="984"/>
      <c r="G54" s="196">
        <f>'Registro Original'!N$396</f>
        <v>4.9999999999994493E-4</v>
      </c>
      <c r="H54" s="196">
        <f>'Registro Original'!O$396</f>
        <v>1.0000000000000009E-3</v>
      </c>
      <c r="I54" s="196">
        <f>'Registro Original'!P$396</f>
        <v>9.5742710775629061E-4</v>
      </c>
      <c r="J54" s="196">
        <f>'Registro Original'!Q$396</f>
        <v>1.4142135623731488E-3</v>
      </c>
      <c r="K54" s="196">
        <f>'Registro Original'!R$396</f>
        <v>8.1649658092772682E-4</v>
      </c>
      <c r="L54" s="198" t="s">
        <v>59</v>
      </c>
      <c r="M54" s="196" t="s">
        <v>131</v>
      </c>
      <c r="N54" s="196" t="s">
        <v>132</v>
      </c>
      <c r="O54" s="198">
        <f>SQRT(3)</f>
        <v>1.7320508075688772</v>
      </c>
      <c r="P54" s="196">
        <v>1</v>
      </c>
      <c r="Q54" s="256" t="s">
        <v>130</v>
      </c>
      <c r="R54" s="256" t="s">
        <v>133</v>
      </c>
      <c r="S54" s="198" t="s">
        <v>130</v>
      </c>
      <c r="T54" s="206">
        <f>IF(ISNUMBER(G54),G54/$O$12,"")</f>
        <v>4.9999999999994493E-4</v>
      </c>
      <c r="U54" s="256">
        <f>IF(ISNUMBER(H54),H54/$O$12,"")</f>
        <v>1.0000000000000009E-3</v>
      </c>
      <c r="V54" s="256">
        <f>IF(ISNUMBER(I54),I54/$O$12,"")</f>
        <v>9.5742710775629061E-4</v>
      </c>
      <c r="W54" s="256">
        <f>IF(ISNUMBER(J54),J54/$O$12,"")</f>
        <v>1.4142135623731488E-3</v>
      </c>
      <c r="X54" s="198">
        <f>IF(ISNUMBER(K54),K54/$O$12,"")</f>
        <v>8.1649658092772682E-4</v>
      </c>
      <c r="Y54" s="201">
        <f>VLOOKUP($I48,'Registro Tratado'!$F$362:$R$400, 9, FALSE) - 1</f>
        <v>3</v>
      </c>
      <c r="Z54" s="201">
        <f>VLOOKUP($I48,'Registro Tratado'!$F$362:$R$400, 10, FALSE) - 1</f>
        <v>3</v>
      </c>
      <c r="AA54" s="201">
        <f>VLOOKUP($I48,'Registro Tratado'!$F$362:$R$400, 11, FALSE) - 1</f>
        <v>3</v>
      </c>
      <c r="AB54" s="201">
        <f>VLOOKUP($I48,'Registro Tratado'!$F$362:$R$400, 12, FALSE) - 1</f>
        <v>3</v>
      </c>
      <c r="AC54" s="201">
        <f>VLOOKUP($I48,'Registro Tratado'!$F$362:$R$400, 13, FALSE) - 1</f>
        <v>3</v>
      </c>
      <c r="AD54" s="209">
        <f t="shared" ca="1" si="8"/>
        <v>3.2789047193638975E-2</v>
      </c>
      <c r="AE54" s="266">
        <f t="shared" ca="1" si="7"/>
        <v>0.1194114053928808</v>
      </c>
      <c r="AF54" s="266">
        <f t="shared" ca="1" si="7"/>
        <v>0.11056835331862959</v>
      </c>
      <c r="AG54" s="266">
        <f t="shared" ca="1" si="7"/>
        <v>0.21336464248841461</v>
      </c>
      <c r="AH54" s="210">
        <f t="shared" ca="1" si="7"/>
        <v>8.2915259405699895E-2</v>
      </c>
    </row>
    <row r="55" spans="2:34" ht="15.75" thickBot="1">
      <c r="B55" s="205" t="s">
        <v>134</v>
      </c>
      <c r="C55" s="973" t="s">
        <v>135</v>
      </c>
      <c r="D55" s="974"/>
      <c r="E55" s="974"/>
      <c r="F55" s="975"/>
      <c r="G55" s="213">
        <f>IF(ISNUMBER('Registro Original'!$G$46),'Registro Original'!$G$46,"")</f>
        <v>1E-3</v>
      </c>
      <c r="H55" s="213">
        <f>IF(ISNUMBER('Registro Original'!$G$46),'Registro Original'!$G$46,"")</f>
        <v>1E-3</v>
      </c>
      <c r="I55" s="213">
        <f>IF(ISNUMBER('Registro Original'!$G$46),'Registro Original'!$G$46,"")</f>
        <v>1E-3</v>
      </c>
      <c r="J55" s="213">
        <f>IF(ISNUMBER('Registro Original'!$G$46),'Registro Original'!$G$46,"")</f>
        <v>1E-3</v>
      </c>
      <c r="K55" s="213">
        <f>IF(ISNUMBER('Registro Original'!$G$46),'Registro Original'!$G$46,"")</f>
        <v>1E-3</v>
      </c>
      <c r="L55" s="212" t="s">
        <v>59</v>
      </c>
      <c r="M55" s="213" t="s">
        <v>136</v>
      </c>
      <c r="N55" s="213" t="s">
        <v>137</v>
      </c>
      <c r="O55" s="212">
        <f>SQRT(12)</f>
        <v>3.4641016151377544</v>
      </c>
      <c r="P55" s="213">
        <v>1</v>
      </c>
      <c r="Q55" s="213" t="s">
        <v>130</v>
      </c>
      <c r="R55" s="213" t="s">
        <v>133</v>
      </c>
      <c r="S55" s="212" t="s">
        <v>130</v>
      </c>
      <c r="T55" s="214">
        <f>IF(ISNUMBER(G55),G55/$O$13,"")</f>
        <v>2.886751345948129E-4</v>
      </c>
      <c r="U55" s="213">
        <f>IF(ISNUMBER(H55),H55/$O$13,"")</f>
        <v>2.886751345948129E-4</v>
      </c>
      <c r="V55" s="213">
        <f>IF(ISNUMBER(I55),I55/$O$13,"")</f>
        <v>2.886751345948129E-4</v>
      </c>
      <c r="W55" s="213">
        <f>IF(ISNUMBER(J55),J55/$O$13,"")</f>
        <v>2.886751345948129E-4</v>
      </c>
      <c r="X55" s="212">
        <f>IF(ISNUMBER(K55),K55/$O$13,"")</f>
        <v>2.886751345948129E-4</v>
      </c>
      <c r="Y55" s="207" t="s">
        <v>138</v>
      </c>
      <c r="Z55" s="207" t="s">
        <v>138</v>
      </c>
      <c r="AA55" s="207" t="s">
        <v>138</v>
      </c>
      <c r="AB55" s="207" t="s">
        <v>138</v>
      </c>
      <c r="AC55" s="208" t="s">
        <v>138</v>
      </c>
      <c r="AD55" s="215">
        <f t="shared" ca="1" si="8"/>
        <v>1.0929682397882067E-2</v>
      </c>
      <c r="AE55" s="216">
        <f t="shared" ca="1" si="7"/>
        <v>9.950950449406715E-3</v>
      </c>
      <c r="AF55" s="216">
        <f t="shared" ca="1" si="7"/>
        <v>1.005166848351278E-2</v>
      </c>
      <c r="AG55" s="216">
        <f t="shared" ca="1" si="7"/>
        <v>8.8901934370166011E-3</v>
      </c>
      <c r="AH55" s="217">
        <f t="shared" ca="1" si="7"/>
        <v>1.0364407425712468E-2</v>
      </c>
    </row>
    <row r="56" spans="2:34" ht="15.75" thickBot="1">
      <c r="B56" s="218"/>
      <c r="C56" s="219"/>
      <c r="D56" s="219"/>
      <c r="E56" s="219"/>
      <c r="F56" s="219"/>
      <c r="G56" s="196"/>
      <c r="H56" s="196"/>
      <c r="I56" s="196"/>
      <c r="J56" s="196"/>
      <c r="K56" s="196"/>
      <c r="L56" s="196"/>
      <c r="M56" s="196"/>
      <c r="N56" s="196"/>
      <c r="O56" s="196"/>
      <c r="P56" s="196"/>
      <c r="Q56" s="196"/>
      <c r="R56" s="196"/>
      <c r="S56" s="196"/>
      <c r="T56" s="196"/>
      <c r="U56" s="196"/>
      <c r="V56" s="196"/>
      <c r="W56" s="196"/>
      <c r="X56" s="196"/>
      <c r="Y56" s="976" t="s">
        <v>141</v>
      </c>
      <c r="Z56" s="977"/>
      <c r="AA56" s="977"/>
      <c r="AB56" s="977"/>
      <c r="AC56" s="978"/>
      <c r="AD56" s="196"/>
      <c r="AE56" s="196"/>
      <c r="AF56" s="196"/>
      <c r="AG56" s="196"/>
      <c r="AH56" s="196"/>
    </row>
    <row r="57" spans="2:34" ht="15.75" thickBot="1">
      <c r="B57" s="195" t="s">
        <v>142</v>
      </c>
      <c r="C57" s="993" t="s">
        <v>143</v>
      </c>
      <c r="D57" s="993"/>
      <c r="E57" s="993"/>
      <c r="F57" s="993"/>
      <c r="G57" s="993"/>
      <c r="H57" s="993"/>
      <c r="I57" s="993"/>
      <c r="J57" s="993"/>
      <c r="K57" s="993"/>
      <c r="L57" s="993"/>
      <c r="M57" s="993"/>
      <c r="N57" s="993"/>
      <c r="O57" s="993"/>
      <c r="P57" s="993"/>
      <c r="Q57" s="993"/>
      <c r="R57" s="994"/>
      <c r="S57" s="220" t="s">
        <v>130</v>
      </c>
      <c r="T57" s="221">
        <f ca="1" xml:space="preserve"> IF(ISNUMBER(T54),SQRT(SUMSQ($P54*T54,$P55*T55,$P52*T52,$P53*T53)),"")</f>
        <v>2.7612492182305837E-3</v>
      </c>
      <c r="U57" s="222">
        <f ca="1" xml:space="preserve"> IF(ISNUMBER(U54),SQRT(SUMSQ($P54*U54,$P55*U55,$P52*U52,$P53*U53)),"")</f>
        <v>2.8938571898526212E-3</v>
      </c>
      <c r="V57" s="222">
        <f ca="1" xml:space="preserve"> IF(ISNUMBER(V54),SQRT(SUMSQ($P54*V54,$P55*V55,$P52*V52,$P53*V53)),"")</f>
        <v>2.8793224184748031E-3</v>
      </c>
      <c r="W57" s="222">
        <f ca="1" xml:space="preserve"> IF(ISNUMBER(W54),SQRT(SUMSQ($P54*W54,$P55*W55,$P52*W52,$P53*W53)),"")</f>
        <v>3.0616375212122872E-3</v>
      </c>
      <c r="X57" s="223">
        <f ca="1" xml:space="preserve"> IF(ISNUMBER(X54),SQRT(SUMSQ($P54*X54,$P55*X55,$P52*X52,$P53*X53)),"")</f>
        <v>2.8355488825912946E-3</v>
      </c>
      <c r="Y57" s="531">
        <f ca="1">IF(Y54="","",IF(T54 = 0, "∞", IF((T57^4)/((T54^4)/Y54) &gt; 1000000, "∞", (T57^4)/((T54^4)/Y54))))</f>
        <v>2790.3819956048601</v>
      </c>
      <c r="Z57" s="532">
        <f ca="1">IF(Z54="","",IF(U54 = 0, "∞", IF((U57^4)/((U54^4)/Z54) &gt; 1000000, "∞", (U57^4)/((U54^4)/Z54))))</f>
        <v>210.39220016820022</v>
      </c>
      <c r="AA57" s="532">
        <f ca="1">IF(AA54="","",IF(V54 = 0, "∞", IF((V57^4)/((V54^4)/AA54) &gt; 1000000, "∞", (V57^4)/((V54^4)/AA54))))</f>
        <v>245.39153158547487</v>
      </c>
      <c r="AB57" s="532">
        <f ca="1">IF(AB54="","",IF(W54 = 0, "∞", IF((W57^4)/((W54^4)/AB54) &gt; 1000000, "∞", (W57^4)/((W54^4)/AB54))))</f>
        <v>65.898624546964328</v>
      </c>
      <c r="AC57" s="533">
        <f ca="1">IF(AC54="","",IF(V54 = 0, "∞", IF((V57^4)/((V54^4)/AC54) &gt; 1000000, "∞", (V57^4)/((V54^4)/AC54))))</f>
        <v>245.39153158547487</v>
      </c>
      <c r="AD57" s="218"/>
      <c r="AE57" s="218"/>
      <c r="AF57" s="218"/>
      <c r="AG57" s="218"/>
      <c r="AH57" s="218"/>
    </row>
    <row r="58" spans="2:34">
      <c r="B58" s="205" t="s">
        <v>144</v>
      </c>
      <c r="C58" s="985" t="s">
        <v>145</v>
      </c>
      <c r="D58" s="985"/>
      <c r="E58" s="985"/>
      <c r="F58" s="985"/>
      <c r="G58" s="985"/>
      <c r="H58" s="985"/>
      <c r="I58" s="985"/>
      <c r="J58" s="985"/>
      <c r="K58" s="985"/>
      <c r="L58" s="985"/>
      <c r="M58" s="985"/>
      <c r="N58" s="985"/>
      <c r="O58" s="985"/>
      <c r="P58" s="985"/>
      <c r="Q58" s="985"/>
      <c r="R58" s="986"/>
      <c r="S58" s="224" t="s">
        <v>130</v>
      </c>
      <c r="T58" s="225">
        <f ca="1">IF(ISNUMBER(Y59),T57*Y59,"")</f>
        <v>5.5249805169162256E-3</v>
      </c>
      <c r="U58" s="226">
        <f ca="1">IF(ISNUMBER(Z59),U57*Z59,"")</f>
        <v>5.8223741018319604E-3</v>
      </c>
      <c r="V58" s="226">
        <f ca="1">IF(ISNUMBER(AA59),V57*AA59,"")</f>
        <v>5.7881802743254265E-3</v>
      </c>
      <c r="W58" s="226">
        <f ca="1">IF(ISNUMBER(AB59),W57*AB59,"")</f>
        <v>6.2432896297986932E-3</v>
      </c>
      <c r="X58" s="226">
        <f ca="1">IF(ISNUMBER(AC59),X57*AC59,"")</f>
        <v>5.7001841835393821E-3</v>
      </c>
      <c r="Y58" s="976" t="s">
        <v>146</v>
      </c>
      <c r="Z58" s="977"/>
      <c r="AA58" s="977"/>
      <c r="AB58" s="977"/>
      <c r="AC58" s="978"/>
      <c r="AD58" s="218"/>
      <c r="AE58" s="218"/>
      <c r="AF58" s="218"/>
      <c r="AG58" s="218"/>
      <c r="AH58" s="218"/>
    </row>
    <row r="59" spans="2:34" ht="15.75" thickBot="1">
      <c r="B59" s="211" t="s">
        <v>144</v>
      </c>
      <c r="C59" s="987" t="s">
        <v>147</v>
      </c>
      <c r="D59" s="987"/>
      <c r="E59" s="987"/>
      <c r="F59" s="987"/>
      <c r="G59" s="987"/>
      <c r="H59" s="987"/>
      <c r="I59" s="987"/>
      <c r="J59" s="987"/>
      <c r="K59" s="987"/>
      <c r="L59" s="987"/>
      <c r="M59" s="987"/>
      <c r="N59" s="987"/>
      <c r="O59" s="987"/>
      <c r="P59" s="987"/>
      <c r="Q59" s="987"/>
      <c r="R59" s="988"/>
      <c r="S59" s="227" t="s">
        <v>130</v>
      </c>
      <c r="T59" s="518">
        <f ca="1">IF(ISNUMBER(T58), IF(((T58-ROUNDDOWN(T58,2))/T58)*100 &gt; 5,ROUNDUP(T58,2), ROUNDDOWN(T58,2)),"")</f>
        <v>0.01</v>
      </c>
      <c r="U59" s="518">
        <f ca="1">IF(ISNUMBER(U58), IF(((U58-ROUNDDOWN(U58,2))/U58)*100 &gt; 5,ROUNDUP(U58,2), ROUNDDOWN(U58,2)),"")</f>
        <v>0.01</v>
      </c>
      <c r="V59" s="518">
        <f ca="1">IF(ISNUMBER(V58), IF(((V58-ROUNDDOWN(V58,2))/V58)*100 &gt; 5,ROUNDUP(V58,2), ROUNDDOWN(V58,2)),"")</f>
        <v>0.01</v>
      </c>
      <c r="W59" s="518">
        <f ca="1">IF(ISNUMBER(W58), IF(((W58-ROUNDDOWN(W58,2))/W58)*100 &gt; 5,ROUNDUP(W58,2), ROUNDDOWN(W58,2)),"")</f>
        <v>0.01</v>
      </c>
      <c r="X59" s="518">
        <f ca="1">IF(ISNUMBER(X58), IF(((X58-ROUNDDOWN(X58,2))/X58)*100 &gt; 5,ROUNDUP(X58,2), ROUNDDOWN(X58,2)),"")</f>
        <v>0.01</v>
      </c>
      <c r="Y59" s="480">
        <f ca="1">IF(Y57 ="∞", 2, IF(ISNUMBER(Y57), IF(Y57 &gt; 1000000, 2,_xlfn.T.INV.2T(1-0.9545,Y57))))</f>
        <v>2.0008988976578683</v>
      </c>
      <c r="Z59" s="481">
        <f ca="1">IF(Z57 ="∞", 2, IF(ISNUMBER(Z57), IF(Z57 &gt; 1000000, 2,_xlfn.T.INV.2T(1-0.9545,Z57))))</f>
        <v>2.0119769981214874</v>
      </c>
      <c r="AA59" s="481">
        <f ca="1">IF(AA57 ="∞", 2, IF(ISNUMBER(AA57), IF(AA57 &gt; 1000000, 2,_xlfn.T.INV.2T(1-0.9545,AA57))))</f>
        <v>2.0102577735603036</v>
      </c>
      <c r="AB59" s="481">
        <f ca="1">IF(AB57 ="∞", 2, IF(ISNUMBER(AB57), IF(AB57 &gt; 1000000, 2,_xlfn.T.INV.2T(1-0.9545,AB57))))</f>
        <v>2.039199476274578</v>
      </c>
      <c r="AC59" s="482">
        <f ca="1">IF(AC57 ="∞", 2, IF(ISNUMBER(AC57), IF(AC57 &gt; 1000000, 2,_xlfn.T.INV.2T(1-0.9545,AC57))))</f>
        <v>2.0102577735603036</v>
      </c>
      <c r="AD59" s="218"/>
      <c r="AE59" s="218"/>
      <c r="AF59" s="218"/>
      <c r="AG59" s="218"/>
      <c r="AH59" s="218"/>
    </row>
    <row r="60" spans="2:34" ht="15.75" thickBot="1"/>
    <row r="61" spans="2:34" ht="15.75" thickBot="1">
      <c r="B61" s="729" t="s">
        <v>149</v>
      </c>
      <c r="C61" s="1009" t="s">
        <v>148</v>
      </c>
      <c r="D61" s="1009"/>
      <c r="E61" s="1009"/>
      <c r="F61" s="728" t="s">
        <v>62</v>
      </c>
      <c r="G61" s="727" t="s">
        <v>63</v>
      </c>
      <c r="H61" s="728" t="s">
        <v>116</v>
      </c>
      <c r="I61" s="727" t="str">
        <f>IF($L61 = 0.25, 'Cadastro - Padrões Absorbância'!D$16, IF($L61 = 0.5, 'Cadastro - Padrões Absorbância'!D$15, 'Cadastro - Padrões Absorbância'!D$14))</f>
        <v>44602-3N</v>
      </c>
      <c r="J61" s="1011" t="s">
        <v>314</v>
      </c>
      <c r="K61" s="1011"/>
      <c r="L61" s="512">
        <v>0.5</v>
      </c>
      <c r="M61" s="1011" t="s">
        <v>162</v>
      </c>
      <c r="N61" s="1011"/>
      <c r="O61" s="253">
        <f>IF($AA61 = 1, VLOOKUP($I61,'Cadastro - Padrões Absorbância'!$D$7:$K$9,4,FALSE), IF($AA61 = 5, VLOOKUP($I61,'Cadastro - Padrões Absorbância'!$D$10:$K$12, 4,FALSE)))</f>
        <v>0.55200000000000005</v>
      </c>
      <c r="P61" s="253">
        <f>IF($AA61 = 1, VLOOKUP($I61,'Cadastro - Padrões Absorbância'!$D$7:$K$9,5,FALSE), IF($AA61 = 5, VLOOKUP($I61,'Cadastro - Padrões Absorbância'!$D$10:$K$12, 5,FALSE)))</f>
        <v>0.51339999999999997</v>
      </c>
      <c r="Q61" s="253">
        <f>IF($AA61 = 1, VLOOKUP($I61,'Cadastro - Padrões Absorbância'!$D$7:$K$9,6,FALSE), IF($AA61 = 5, VLOOKUP($I61,'Cadastro - Padrões Absorbância'!$D$10:$K$12, 6,FALSE)))</f>
        <v>0.51170000000000004</v>
      </c>
      <c r="R61" s="253">
        <f>IF($AA61 = 1, VLOOKUP($I61,'Cadastro - Padrões Absorbância'!$D$7:$K$9,7,FALSE), IF($AA61 = 5, VLOOKUP($I61,'Cadastro - Padrões Absorbância'!$D$10:$K$12, 7,FALSE)))</f>
        <v>0.54500000000000004</v>
      </c>
      <c r="S61" s="253">
        <f>IF($AA61 = 1, VLOOKUP($I61,'Cadastro - Padrões Absorbância'!$D$7:$K$9,8,FALSE), IF($AA61 = 5, VLOOKUP($I61,'Cadastro - Padrões Absorbância'!$D$10:$K$12, 8,FALSE)))</f>
        <v>0.55230000000000001</v>
      </c>
      <c r="T61" s="1017" t="str">
        <f xml:space="preserve"> CONCATENATE("Densidade neutra ", L61, " A")</f>
        <v>Densidade neutra 0,5 A</v>
      </c>
      <c r="U61" s="1010"/>
      <c r="V61" s="271" t="s">
        <v>176</v>
      </c>
      <c r="W61" s="1010" t="str">
        <f>CONCATENATE(L61, " A", " – ",I61)</f>
        <v>0,5 A – 44602-3N</v>
      </c>
      <c r="X61" s="1015"/>
      <c r="Y61" s="1016" t="s">
        <v>164</v>
      </c>
      <c r="Z61" s="1011"/>
      <c r="AA61" s="491">
        <v>1</v>
      </c>
      <c r="AB61" s="1011" t="s">
        <v>307</v>
      </c>
      <c r="AC61" s="1011"/>
      <c r="AD61" s="493">
        <f>VLOOKUP($I61,'Cadastro - Padrões Absorbância'!$D$7:$Q$12,14,FALSE)</f>
        <v>44414</v>
      </c>
      <c r="AE61" s="254"/>
      <c r="AF61" s="254"/>
      <c r="AG61" s="254"/>
      <c r="AH61" s="272"/>
    </row>
    <row r="62" spans="2:34" ht="3.75" customHeight="1" thickBot="1">
      <c r="B62" s="185"/>
      <c r="C62" s="185"/>
      <c r="D62" s="186"/>
      <c r="E62" s="186"/>
      <c r="F62" s="185"/>
      <c r="G62" s="186"/>
      <c r="H62" s="185"/>
      <c r="I62" s="186"/>
      <c r="J62" s="186"/>
      <c r="K62" s="186"/>
      <c r="L62" s="185"/>
      <c r="M62" s="185"/>
      <c r="N62" s="185"/>
      <c r="O62" s="187"/>
      <c r="P62" s="188"/>
      <c r="Q62" s="188"/>
      <c r="R62" s="189"/>
      <c r="S62" s="189"/>
      <c r="AH62" s="270"/>
    </row>
    <row r="63" spans="2:34" ht="15.75" thickBot="1">
      <c r="B63" s="998" t="s">
        <v>117</v>
      </c>
      <c r="C63" s="999"/>
      <c r="D63" s="999"/>
      <c r="E63" s="999"/>
      <c r="F63" s="999"/>
      <c r="G63" s="999"/>
      <c r="H63" s="999"/>
      <c r="I63" s="999"/>
      <c r="J63" s="999"/>
      <c r="K63" s="999"/>
      <c r="L63" s="999"/>
      <c r="M63" s="999"/>
      <c r="N63" s="999"/>
      <c r="O63" s="1000"/>
      <c r="P63" s="995" t="s">
        <v>118</v>
      </c>
      <c r="Q63" s="996"/>
      <c r="R63" s="996"/>
      <c r="S63" s="997"/>
      <c r="T63" s="976" t="s">
        <v>119</v>
      </c>
      <c r="U63" s="977"/>
      <c r="V63" s="977"/>
      <c r="W63" s="977"/>
      <c r="X63" s="978"/>
      <c r="Y63" s="976" t="s">
        <v>120</v>
      </c>
      <c r="Z63" s="977"/>
      <c r="AA63" s="977"/>
      <c r="AB63" s="977"/>
      <c r="AC63" s="978"/>
      <c r="AD63" s="976" t="s">
        <v>121</v>
      </c>
      <c r="AE63" s="977"/>
      <c r="AF63" s="977"/>
      <c r="AG63" s="977"/>
      <c r="AH63" s="978"/>
    </row>
    <row r="64" spans="2:34" ht="15.75" thickBot="1">
      <c r="B64" s="190" t="s">
        <v>122</v>
      </c>
      <c r="C64" s="998" t="s">
        <v>123</v>
      </c>
      <c r="D64" s="999"/>
      <c r="E64" s="999"/>
      <c r="F64" s="1000"/>
      <c r="G64" s="176">
        <v>440</v>
      </c>
      <c r="H64" s="176">
        <v>465</v>
      </c>
      <c r="I64" s="176">
        <v>546.1</v>
      </c>
      <c r="J64" s="176">
        <v>590</v>
      </c>
      <c r="K64" s="177">
        <v>635</v>
      </c>
      <c r="L64" s="726" t="s">
        <v>124</v>
      </c>
      <c r="M64" s="192" t="s">
        <v>125</v>
      </c>
      <c r="N64" s="193" t="s">
        <v>126</v>
      </c>
      <c r="O64" s="192" t="s">
        <v>127</v>
      </c>
      <c r="P64" s="194" t="s">
        <v>128</v>
      </c>
      <c r="Q64" s="1001" t="s">
        <v>124</v>
      </c>
      <c r="R64" s="1002"/>
      <c r="S64" s="1003"/>
      <c r="T64" s="257" t="s">
        <v>166</v>
      </c>
      <c r="U64" s="258" t="s">
        <v>167</v>
      </c>
      <c r="V64" s="258" t="s">
        <v>168</v>
      </c>
      <c r="W64" s="258" t="s">
        <v>169</v>
      </c>
      <c r="X64" s="259" t="s">
        <v>170</v>
      </c>
      <c r="Y64" s="257" t="s">
        <v>166</v>
      </c>
      <c r="Z64" s="258" t="s">
        <v>167</v>
      </c>
      <c r="AA64" s="258" t="s">
        <v>168</v>
      </c>
      <c r="AB64" s="258" t="s">
        <v>169</v>
      </c>
      <c r="AC64" s="259" t="s">
        <v>170</v>
      </c>
      <c r="AD64" s="257" t="s">
        <v>166</v>
      </c>
      <c r="AE64" s="258" t="s">
        <v>167</v>
      </c>
      <c r="AF64" s="258" t="s">
        <v>168</v>
      </c>
      <c r="AG64" s="258" t="s">
        <v>169</v>
      </c>
      <c r="AH64" s="259" t="s">
        <v>170</v>
      </c>
    </row>
    <row r="65" spans="2:34">
      <c r="B65" s="205" t="s">
        <v>139</v>
      </c>
      <c r="C65" s="982" t="s">
        <v>165</v>
      </c>
      <c r="D65" s="992"/>
      <c r="E65" s="992"/>
      <c r="F65" s="984"/>
      <c r="G65" s="513">
        <f>IF($AA61 = 1, VLOOKUP($I61,'Cadastro - Padrões Absorbância'!$D$7:$P$9,9,FALSE), IF($AA61 = 5, VLOOKUP($I61,'Cadastro - Padrões Absorbância'!$D$10:$P$12, 9,FALSE)))</f>
        <v>4.0000000000000001E-3</v>
      </c>
      <c r="H65" s="513">
        <f>IF($AA61 = 1, VLOOKUP($I61,'Cadastro - Padrões Absorbância'!$D$7:$P$9,10,FALSE), IF($AA61 = 5, VLOOKUP($I61,'Cadastro - Padrões Absorbância'!$D$10:$P$12, 10,FALSE)))</f>
        <v>4.0000000000000001E-3</v>
      </c>
      <c r="I65" s="513">
        <f>IF($AA61 = 1, VLOOKUP($I61,'Cadastro - Padrões Absorbância'!$D$7:$P$9,11,FALSE), IF($AA61 = 5, VLOOKUP($I61,'Cadastro - Padrões Absorbância'!$D$10:$P$12, 11,FALSE)))</f>
        <v>4.0000000000000001E-3</v>
      </c>
      <c r="J65" s="513">
        <f>IF($AA61 = 1, VLOOKUP($I61,'Cadastro - Padrões Absorbância'!$D$7:$P$9,12,FALSE), IF($AA61 = 5, VLOOKUP($I61,'Cadastro - Padrões Absorbância'!$D$10:$P$12, 12,FALSE)))</f>
        <v>4.0000000000000001E-3</v>
      </c>
      <c r="K65" s="513">
        <f>IF($AA61 = 1, VLOOKUP($I61,'Cadastro - Padrões Absorbância'!$D$7:$P$9,13,FALSE), IF($AA61 = 5, VLOOKUP($I61,'Cadastro - Padrões Absorbância'!$D$10:$P$12, 13,FALSE)))</f>
        <v>4.0000000000000001E-3</v>
      </c>
      <c r="L65" s="198" t="s">
        <v>59</v>
      </c>
      <c r="M65" s="196" t="s">
        <v>136</v>
      </c>
      <c r="N65" s="196" t="s">
        <v>132</v>
      </c>
      <c r="O65" s="198">
        <v>2</v>
      </c>
      <c r="P65" s="196">
        <v>1</v>
      </c>
      <c r="Q65" s="196" t="s">
        <v>130</v>
      </c>
      <c r="R65" s="196" t="s">
        <v>133</v>
      </c>
      <c r="S65" s="198" t="s">
        <v>130</v>
      </c>
      <c r="T65" s="200">
        <f>IF(ISNUMBER(G65),G65/$O$10,"")</f>
        <v>2E-3</v>
      </c>
      <c r="U65" s="199">
        <f>IF(ISNUMBER(H65),H65/$O$10,"")</f>
        <v>2E-3</v>
      </c>
      <c r="V65" s="199">
        <f>IF(ISNUMBER(I65),I65/$O$10,"")</f>
        <v>2E-3</v>
      </c>
      <c r="W65" s="199">
        <f>IF(ISNUMBER(J65),J65/$O$10,"")</f>
        <v>2E-3</v>
      </c>
      <c r="X65" s="197">
        <f>IF(ISNUMBER(K65),K65/$O$10,"")</f>
        <v>2E-3</v>
      </c>
      <c r="Y65" s="207" t="s">
        <v>138</v>
      </c>
      <c r="Z65" s="207" t="s">
        <v>138</v>
      </c>
      <c r="AA65" s="207" t="s">
        <v>138</v>
      </c>
      <c r="AB65" s="207" t="s">
        <v>138</v>
      </c>
      <c r="AC65" s="208" t="s">
        <v>138</v>
      </c>
      <c r="AD65" s="202">
        <f ca="1">IF(ISNUMBER(T65),IF(ISNUMBER(T$70),(T65^2)/(T$70^2),""),"")</f>
        <v>0.92282905576856711</v>
      </c>
      <c r="AE65" s="203">
        <f t="shared" ref="AE65:AH68" ca="1" si="9">IF(ISNUMBER(U65),IF(ISNUMBER(U$70),(U65^2)/(U$70^2),""),"")</f>
        <v>0.7867187037021357</v>
      </c>
      <c r="AF65" s="203">
        <f t="shared" ca="1" si="9"/>
        <v>0.79992039359720812</v>
      </c>
      <c r="AG65" s="203">
        <f t="shared" ca="1" si="9"/>
        <v>0.65750279690571278</v>
      </c>
      <c r="AH65" s="204">
        <f t="shared" ca="1" si="9"/>
        <v>0.84204543971792623</v>
      </c>
    </row>
    <row r="66" spans="2:34">
      <c r="B66" s="268" t="s">
        <v>140</v>
      </c>
      <c r="C66" s="1012" t="s">
        <v>177</v>
      </c>
      <c r="D66" s="1013"/>
      <c r="E66" s="1013"/>
      <c r="F66" s="1014"/>
      <c r="G66" s="517">
        <f ca="1">IF($AD61 = "", G65, ABS((((YEAR(TODAY())-YEAR($AD61))*12 - MONTH($AD61) + MONTH(TODAY())))*VLOOKUP($L$6,'Cadastro - Padrões Absorbância'!$F$41:$P$43,7,FALSE)))</f>
        <v>1.1818181818181779E-4</v>
      </c>
      <c r="H66" s="517">
        <f ca="1">IF($AD61 = "", H65, ABS((((YEAR(TODAY())-YEAR($AD61))*12 - MONTH($AD61) + MONTH(TODAY())))*VLOOKUP($L$6,'Cadastro - Padrões Absorbância'!$F$41:$P$43,8,FALSE)))</f>
        <v>1.1363636363636247E-4</v>
      </c>
      <c r="I66" s="517">
        <f ca="1">IF($AD61 = "", I65, ABS((((YEAR(TODAY())-YEAR($AD61))*12 - MONTH($AD61) + MONTH(TODAY())))*VLOOKUP($L$6,'Cadastro - Padrões Absorbância'!$F$41:$P$43,9,FALSE)))</f>
        <v>7.7272727272726337E-5</v>
      </c>
      <c r="J66" s="517">
        <f ca="1">IF($AD61 = "", J65, ABS((((YEAR(TODAY())-YEAR($AD61))*12 - MONTH($AD61) + MONTH(TODAY())))*VLOOKUP($L$6,'Cadastro - Padrões Absorbância'!$F$41:$P$43,10,FALSE)))</f>
        <v>5.9090909090907626E-5</v>
      </c>
      <c r="K66" s="517">
        <f ca="1">IF($AD61 = "", K65, ABS((((YEAR(TODAY())-YEAR($AD61))*12 - MONTH($AD61) + MONTH(TODAY())))*VLOOKUP($L$6,'Cadastro - Padrões Absorbância'!$F$41:$P$43,11,FALSE)))</f>
        <v>6.3636363636364196E-5</v>
      </c>
      <c r="L66" s="198" t="s">
        <v>59</v>
      </c>
      <c r="M66" s="256" t="s">
        <v>136</v>
      </c>
      <c r="N66" s="256" t="s">
        <v>137</v>
      </c>
      <c r="O66" s="198">
        <f>SQRT(12)</f>
        <v>3.4641016151377544</v>
      </c>
      <c r="P66" s="256">
        <v>1</v>
      </c>
      <c r="Q66" s="256" t="s">
        <v>130</v>
      </c>
      <c r="R66" s="256" t="s">
        <v>133</v>
      </c>
      <c r="S66" s="198" t="s">
        <v>130</v>
      </c>
      <c r="T66" s="206">
        <f ca="1">IF(ISNUMBER(G66),G66/$O$11,"")</f>
        <v>3.4116152270295958E-5</v>
      </c>
      <c r="U66" s="256">
        <f ca="1">IF(ISNUMBER(H66),H66/$O$11,"")</f>
        <v>3.2803992567592039E-5</v>
      </c>
      <c r="V66" s="256">
        <f ca="1">IF(ISNUMBER(I66),I66/$O$11,"")</f>
        <v>2.2306714945962546E-5</v>
      </c>
      <c r="W66" s="256">
        <f ca="1">IF(ISNUMBER(J66),J66/$O$11,"")</f>
        <v>1.7058076135147613E-5</v>
      </c>
      <c r="X66" s="198">
        <f ca="1">IF(ISNUMBER(K66),K66/$O$11,"")</f>
        <v>1.8370235837851891E-5</v>
      </c>
      <c r="Y66" s="269" t="s">
        <v>138</v>
      </c>
      <c r="Z66" s="269" t="s">
        <v>138</v>
      </c>
      <c r="AA66" s="269" t="s">
        <v>138</v>
      </c>
      <c r="AB66" s="269" t="s">
        <v>138</v>
      </c>
      <c r="AC66" s="208" t="s">
        <v>138</v>
      </c>
      <c r="AD66" s="209">
        <f t="shared" ref="AD66:AD68" ca="1" si="10">IF(ISNUMBER(T66),IF(ISNUMBER(T$70),(T66^2)/(T$70^2),""),"")</f>
        <v>2.6852291739822113E-4</v>
      </c>
      <c r="AE66" s="266">
        <f t="shared" ca="1" si="9"/>
        <v>2.1164737853556509E-4</v>
      </c>
      <c r="AF66" s="266">
        <f t="shared" ca="1" si="9"/>
        <v>9.950800350791478E-5</v>
      </c>
      <c r="AG66" s="266">
        <f t="shared" ca="1" si="9"/>
        <v>4.7829705869946619E-5</v>
      </c>
      <c r="AH66" s="210">
        <f t="shared" ca="1" si="9"/>
        <v>7.1040334962429603E-5</v>
      </c>
    </row>
    <row r="67" spans="2:34">
      <c r="B67" s="267" t="s">
        <v>129</v>
      </c>
      <c r="C67" s="982" t="s">
        <v>175</v>
      </c>
      <c r="D67" s="983"/>
      <c r="E67" s="983"/>
      <c r="F67" s="984"/>
      <c r="G67" s="196">
        <f>'Registro Original'!N$396</f>
        <v>4.9999999999994493E-4</v>
      </c>
      <c r="H67" s="196">
        <f>'Registro Original'!O$396</f>
        <v>1.0000000000000009E-3</v>
      </c>
      <c r="I67" s="196">
        <f>'Registro Original'!P$396</f>
        <v>9.5742710775629061E-4</v>
      </c>
      <c r="J67" s="196">
        <f>'Registro Original'!Q$396</f>
        <v>1.4142135623731488E-3</v>
      </c>
      <c r="K67" s="196">
        <f>'Registro Original'!R$396</f>
        <v>8.1649658092772682E-4</v>
      </c>
      <c r="L67" s="198" t="s">
        <v>59</v>
      </c>
      <c r="M67" s="196" t="s">
        <v>131</v>
      </c>
      <c r="N67" s="196" t="s">
        <v>132</v>
      </c>
      <c r="O67" s="198">
        <f>SQRT(3)</f>
        <v>1.7320508075688772</v>
      </c>
      <c r="P67" s="196">
        <v>1</v>
      </c>
      <c r="Q67" s="256" t="s">
        <v>130</v>
      </c>
      <c r="R67" s="256" t="s">
        <v>133</v>
      </c>
      <c r="S67" s="198" t="s">
        <v>130</v>
      </c>
      <c r="T67" s="206">
        <f>IF(ISNUMBER(G67),G67/$O$12,"")</f>
        <v>4.9999999999994493E-4</v>
      </c>
      <c r="U67" s="256">
        <f>IF(ISNUMBER(H67),H67/$O$12,"")</f>
        <v>1.0000000000000009E-3</v>
      </c>
      <c r="V67" s="256">
        <f>IF(ISNUMBER(I67),I67/$O$12,"")</f>
        <v>9.5742710775629061E-4</v>
      </c>
      <c r="W67" s="256">
        <f>IF(ISNUMBER(J67),J67/$O$12,"")</f>
        <v>1.4142135623731488E-3</v>
      </c>
      <c r="X67" s="198">
        <f>IF(ISNUMBER(K67),K67/$O$12,"")</f>
        <v>8.1649658092772682E-4</v>
      </c>
      <c r="Y67" s="201">
        <f>VLOOKUP($I61,'Registro Tratado'!$F$362:$R$400, 9, FALSE) - 1</f>
        <v>3</v>
      </c>
      <c r="Z67" s="201">
        <f>VLOOKUP($I61,'Registro Tratado'!$F$362:$R$400, 10, FALSE) - 1</f>
        <v>3</v>
      </c>
      <c r="AA67" s="201">
        <f>VLOOKUP($I61,'Registro Tratado'!$F$362:$R$400, 11, FALSE) - 1</f>
        <v>3</v>
      </c>
      <c r="AB67" s="201">
        <f>VLOOKUP($I61,'Registro Tratado'!$F$362:$R$400, 12, FALSE) - 1</f>
        <v>3</v>
      </c>
      <c r="AC67" s="201">
        <f>VLOOKUP($I61,'Registro Tratado'!$F$362:$R$400, 13, FALSE) - 1</f>
        <v>3</v>
      </c>
      <c r="AD67" s="209">
        <f t="shared" ca="1" si="10"/>
        <v>5.7676815985522746E-2</v>
      </c>
      <c r="AE67" s="266">
        <f t="shared" ca="1" si="9"/>
        <v>0.19667967592553431</v>
      </c>
      <c r="AF67" s="266">
        <f t="shared" ca="1" si="9"/>
        <v>0.18331509019934203</v>
      </c>
      <c r="AG67" s="266">
        <f t="shared" ca="1" si="9"/>
        <v>0.32875139845288143</v>
      </c>
      <c r="AH67" s="210">
        <f t="shared" ca="1" si="9"/>
        <v>0.14034090661965465</v>
      </c>
    </row>
    <row r="68" spans="2:34" ht="15.75" thickBot="1">
      <c r="B68" s="205" t="s">
        <v>134</v>
      </c>
      <c r="C68" s="973" t="s">
        <v>135</v>
      </c>
      <c r="D68" s="974"/>
      <c r="E68" s="974"/>
      <c r="F68" s="975"/>
      <c r="G68" s="213">
        <f>IF(ISNUMBER('Registro Original'!$G$46),'Registro Original'!$G$46,"")</f>
        <v>1E-3</v>
      </c>
      <c r="H68" s="213">
        <f>IF(ISNUMBER('Registro Original'!$G$46),'Registro Original'!$G$46,"")</f>
        <v>1E-3</v>
      </c>
      <c r="I68" s="213">
        <f>IF(ISNUMBER('Registro Original'!$G$46),'Registro Original'!$G$46,"")</f>
        <v>1E-3</v>
      </c>
      <c r="J68" s="213">
        <f>IF(ISNUMBER('Registro Original'!$G$46),'Registro Original'!$G$46,"")</f>
        <v>1E-3</v>
      </c>
      <c r="K68" s="213">
        <f>IF(ISNUMBER('Registro Original'!$G$46),'Registro Original'!$G$46,"")</f>
        <v>1E-3</v>
      </c>
      <c r="L68" s="212" t="s">
        <v>59</v>
      </c>
      <c r="M68" s="213" t="s">
        <v>136</v>
      </c>
      <c r="N68" s="213" t="s">
        <v>137</v>
      </c>
      <c r="O68" s="212">
        <f>SQRT(12)</f>
        <v>3.4641016151377544</v>
      </c>
      <c r="P68" s="213">
        <v>1</v>
      </c>
      <c r="Q68" s="213" t="s">
        <v>130</v>
      </c>
      <c r="R68" s="213" t="s">
        <v>133</v>
      </c>
      <c r="S68" s="212" t="s">
        <v>130</v>
      </c>
      <c r="T68" s="214">
        <f>IF(ISNUMBER(G68),G68/$O$13,"")</f>
        <v>2.886751345948129E-4</v>
      </c>
      <c r="U68" s="213">
        <f>IF(ISNUMBER(H68),H68/$O$13,"")</f>
        <v>2.886751345948129E-4</v>
      </c>
      <c r="V68" s="213">
        <f>IF(ISNUMBER(I68),I68/$O$13,"")</f>
        <v>2.886751345948129E-4</v>
      </c>
      <c r="W68" s="213">
        <f>IF(ISNUMBER(J68),J68/$O$13,"")</f>
        <v>2.886751345948129E-4</v>
      </c>
      <c r="X68" s="212">
        <f>IF(ISNUMBER(K68),K68/$O$13,"")</f>
        <v>2.886751345948129E-4</v>
      </c>
      <c r="Y68" s="207" t="s">
        <v>138</v>
      </c>
      <c r="Z68" s="207" t="s">
        <v>138</v>
      </c>
      <c r="AA68" s="207" t="s">
        <v>138</v>
      </c>
      <c r="AB68" s="207" t="s">
        <v>138</v>
      </c>
      <c r="AC68" s="208" t="s">
        <v>138</v>
      </c>
      <c r="AD68" s="215">
        <f t="shared" ca="1" si="10"/>
        <v>1.9225605328511818E-2</v>
      </c>
      <c r="AE68" s="216">
        <f t="shared" ca="1" si="9"/>
        <v>1.6389972993794497E-2</v>
      </c>
      <c r="AF68" s="216">
        <f t="shared" ca="1" si="9"/>
        <v>1.6665008199941839E-2</v>
      </c>
      <c r="AG68" s="216">
        <f t="shared" ca="1" si="9"/>
        <v>1.3697974935535685E-2</v>
      </c>
      <c r="AH68" s="217">
        <f t="shared" ca="1" si="9"/>
        <v>1.75426133274568E-2</v>
      </c>
    </row>
    <row r="69" spans="2:34" ht="15.75" thickBot="1">
      <c r="B69" s="218"/>
      <c r="C69" s="219"/>
      <c r="D69" s="219"/>
      <c r="E69" s="219"/>
      <c r="F69" s="219"/>
      <c r="G69" s="196"/>
      <c r="H69" s="196"/>
      <c r="I69" s="196"/>
      <c r="J69" s="196"/>
      <c r="K69" s="196"/>
      <c r="L69" s="196"/>
      <c r="M69" s="196"/>
      <c r="N69" s="196"/>
      <c r="O69" s="196"/>
      <c r="P69" s="196"/>
      <c r="Q69" s="196"/>
      <c r="R69" s="196"/>
      <c r="S69" s="196"/>
      <c r="T69" s="196"/>
      <c r="U69" s="196"/>
      <c r="V69" s="196"/>
      <c r="W69" s="196"/>
      <c r="X69" s="196"/>
      <c r="Y69" s="976" t="s">
        <v>141</v>
      </c>
      <c r="Z69" s="977"/>
      <c r="AA69" s="977"/>
      <c r="AB69" s="977"/>
      <c r="AC69" s="978"/>
      <c r="AD69" s="196"/>
      <c r="AE69" s="196"/>
      <c r="AF69" s="196"/>
      <c r="AG69" s="196"/>
      <c r="AH69" s="196"/>
    </row>
    <row r="70" spans="2:34" ht="15.75" thickBot="1">
      <c r="B70" s="195" t="s">
        <v>142</v>
      </c>
      <c r="C70" s="993" t="s">
        <v>143</v>
      </c>
      <c r="D70" s="993"/>
      <c r="E70" s="993"/>
      <c r="F70" s="993"/>
      <c r="G70" s="993"/>
      <c r="H70" s="993"/>
      <c r="I70" s="993"/>
      <c r="J70" s="993"/>
      <c r="K70" s="993"/>
      <c r="L70" s="993"/>
      <c r="M70" s="993"/>
      <c r="N70" s="993"/>
      <c r="O70" s="993"/>
      <c r="P70" s="993"/>
      <c r="Q70" s="993"/>
      <c r="R70" s="994"/>
      <c r="S70" s="220" t="s">
        <v>130</v>
      </c>
      <c r="T70" s="221">
        <f ca="1" xml:space="preserve"> IF(ISNUMBER(T67),SQRT(SUMSQ($P67*T67,$P68*T68,$P65*T65,$P66*T66)),"")</f>
        <v>2.0819455432789322E-3</v>
      </c>
      <c r="U70" s="222">
        <f ca="1" xml:space="preserve"> IF(ISNUMBER(U67),SQRT(SUMSQ($P67*U67,$P68*U68,$P65*U65,$P66*U66)),"")</f>
        <v>2.2548635070136084E-3</v>
      </c>
      <c r="V70" s="222">
        <f ca="1" xml:space="preserve"> IF(ISNUMBER(V67),SQRT(SUMSQ($P67*V67,$P68*V68,$P65*V65,$P66*V66)),"")</f>
        <v>2.23617923913348E-3</v>
      </c>
      <c r="W70" s="222">
        <f ca="1" xml:space="preserve"> IF(ISNUMBER(W67),SQRT(SUMSQ($P67*W67,$P68*W68,$P65*W65,$P66*W66)),"")</f>
        <v>2.4665004178582492E-3</v>
      </c>
      <c r="X70" s="223">
        <f ca="1" xml:space="preserve"> IF(ISNUMBER(X67),SQRT(SUMSQ($P67*X67,$P68*X68,$P65*X65,$P66*X66)),"")</f>
        <v>2.1795268903054945E-3</v>
      </c>
      <c r="Y70" s="531">
        <f ca="1">IF(Y67="","",IF(T67 = 0, "∞", IF((T70^4)/((T67^4)/Y67) &gt; 1000000, "∞", (T70^4)/((T67^4)/Y67))))</f>
        <v>901.81758568668886</v>
      </c>
      <c r="Z70" s="532">
        <f ca="1">IF(Z67="","",IF(U67 = 0, "∞", IF((U70^4)/((U67^4)/Z67) &gt; 1000000, "∞", (U70^4)/((U67^4)/Z67))))</f>
        <v>77.553657916134583</v>
      </c>
      <c r="AA70" s="532">
        <f ca="1">IF(AA67="","",IF(V67 = 0, "∞", IF((V70^4)/((V67^4)/AA67) &gt; 1000000, "∞", (V70^4)/((V67^4)/AA67))))</f>
        <v>89.273964411072726</v>
      </c>
      <c r="AB70" s="532">
        <f ca="1">IF(AB67="","",IF(W67 = 0, "∞", IF((W70^4)/((W67^4)/AB67) &gt; 1000000, "∞", (W70^4)/((W67^4)/AB67))))</f>
        <v>27.757863570729707</v>
      </c>
      <c r="AC70" s="533">
        <f ca="1">IF(AC67="","",IF(V67 = 0, "∞", IF((V70^4)/((V67^4)/AC67) &gt; 1000000, "∞", (V70^4)/((V67^4)/AC67))))</f>
        <v>89.273964411072726</v>
      </c>
      <c r="AD70" s="218"/>
      <c r="AE70" s="218"/>
      <c r="AF70" s="218"/>
      <c r="AG70" s="218"/>
      <c r="AH70" s="218"/>
    </row>
    <row r="71" spans="2:34">
      <c r="B71" s="205" t="s">
        <v>144</v>
      </c>
      <c r="C71" s="985" t="s">
        <v>145</v>
      </c>
      <c r="D71" s="985"/>
      <c r="E71" s="985"/>
      <c r="F71" s="985"/>
      <c r="G71" s="985"/>
      <c r="H71" s="985"/>
      <c r="I71" s="985"/>
      <c r="J71" s="985"/>
      <c r="K71" s="985"/>
      <c r="L71" s="985"/>
      <c r="M71" s="985"/>
      <c r="N71" s="985"/>
      <c r="O71" s="985"/>
      <c r="P71" s="985"/>
      <c r="Q71" s="985"/>
      <c r="R71" s="986"/>
      <c r="S71" s="224" t="s">
        <v>130</v>
      </c>
      <c r="T71" s="225">
        <f ca="1">IF(ISNUMBER(Y72),T70*Y72,"")</f>
        <v>4.169680818689364E-3</v>
      </c>
      <c r="U71" s="226">
        <f ca="1">IF(ISNUMBER(Z72),U70*Z72,"")</f>
        <v>4.5841215612532366E-3</v>
      </c>
      <c r="V71" s="226">
        <f ca="1">IF(ISNUMBER(AA72),V70*AA72,"")</f>
        <v>4.5360518818669156E-3</v>
      </c>
      <c r="W71" s="226">
        <f ca="1">IF(ISNUMBER(AB72),W70*AB72,"")</f>
        <v>5.1721160058711101E-3</v>
      </c>
      <c r="X71" s="226">
        <f ca="1">IF(ISNUMBER(AC72),X70*AC72,"")</f>
        <v>4.4211335474971967E-3</v>
      </c>
      <c r="Y71" s="976" t="s">
        <v>146</v>
      </c>
      <c r="Z71" s="977"/>
      <c r="AA71" s="977"/>
      <c r="AB71" s="977"/>
      <c r="AC71" s="978"/>
      <c r="AD71" s="218"/>
      <c r="AE71" s="218"/>
      <c r="AF71" s="218"/>
      <c r="AG71" s="218"/>
      <c r="AH71" s="218"/>
    </row>
    <row r="72" spans="2:34" ht="15.75" thickBot="1">
      <c r="B72" s="211" t="s">
        <v>144</v>
      </c>
      <c r="C72" s="987" t="s">
        <v>147</v>
      </c>
      <c r="D72" s="987"/>
      <c r="E72" s="987"/>
      <c r="F72" s="987"/>
      <c r="G72" s="987"/>
      <c r="H72" s="987"/>
      <c r="I72" s="987"/>
      <c r="J72" s="987"/>
      <c r="K72" s="987"/>
      <c r="L72" s="987"/>
      <c r="M72" s="987"/>
      <c r="N72" s="987"/>
      <c r="O72" s="987"/>
      <c r="P72" s="987"/>
      <c r="Q72" s="987"/>
      <c r="R72" s="988"/>
      <c r="S72" s="227" t="s">
        <v>130</v>
      </c>
      <c r="T72" s="518">
        <f ca="1">IF(ISNUMBER(T71), IF(((T71-ROUNDDOWN(T71,2))/T71)*100 &gt; 5,ROUNDUP(T71,2), ROUNDDOWN(T71,2)),"")</f>
        <v>0.01</v>
      </c>
      <c r="U72" s="518">
        <f ca="1">IF(ISNUMBER(U71), IF(((U71-ROUNDDOWN(U71,2))/U71)*100 &gt; 5,ROUNDUP(U71,2), ROUNDDOWN(U71,2)),"")</f>
        <v>0.01</v>
      </c>
      <c r="V72" s="518">
        <f ca="1">IF(ISNUMBER(V71), IF(((V71-ROUNDDOWN(V71,2))/V71)*100 &gt; 5,ROUNDUP(V71,2), ROUNDDOWN(V71,2)),"")</f>
        <v>0.01</v>
      </c>
      <c r="W72" s="518">
        <f ca="1">IF(ISNUMBER(W71), IF(((W71-ROUNDDOWN(W71,2))/W71)*100 &gt; 5,ROUNDUP(W71,2), ROUNDDOWN(W71,2)),"")</f>
        <v>0.01</v>
      </c>
      <c r="X72" s="518">
        <f ca="1">IF(ISNUMBER(X71), IF(((X71-ROUNDDOWN(X71,2))/X71)*100 &gt; 5,ROUNDUP(X71,2), ROUNDDOWN(X71,2)),"")</f>
        <v>0.01</v>
      </c>
      <c r="Y72" s="480">
        <f ca="1">IF(Y70 ="∞", 2, IF(ISNUMBER(Y70), IF(Y70 &gt; 1000000, 2,_xlfn.T.INV.2T(1-0.9545,Y70))))</f>
        <v>2.0027809239056182</v>
      </c>
      <c r="Z72" s="481">
        <f ca="1">IF(Z70 ="∞", 2, IF(ISNUMBER(Z70), IF(Z70 &gt; 1000000, 2,_xlfn.T.INV.2T(1-0.9545,Z70))))</f>
        <v>2.0329929270639311</v>
      </c>
      <c r="AA72" s="481">
        <f ca="1">IF(AA70 ="∞", 2, IF(ISNUMBER(AA70), IF(AA70 &gt; 1000000, 2,_xlfn.T.INV.2T(1-0.9545,AA70))))</f>
        <v>2.0284831387776574</v>
      </c>
      <c r="AB72" s="481">
        <f ca="1">IF(AB70 ="∞", 2, IF(ISNUMBER(AB70), IF(AB70 &gt; 1000000, 2,_xlfn.T.INV.2T(1-0.9545,AB70))))</f>
        <v>2.0969451164181208</v>
      </c>
      <c r="AC72" s="482">
        <f ca="1">IF(AC70 ="∞", 2, IF(ISNUMBER(AC70), IF(AC70 &gt; 1000000, 2,_xlfn.T.INV.2T(1-0.9545,AC70))))</f>
        <v>2.0284831387776574</v>
      </c>
      <c r="AD72" s="218"/>
      <c r="AE72" s="218"/>
      <c r="AF72" s="218"/>
      <c r="AG72" s="218"/>
      <c r="AH72" s="218"/>
    </row>
    <row r="73" spans="2:34" ht="15.75" thickBot="1"/>
    <row r="74" spans="2:34" ht="15.75" thickBot="1">
      <c r="B74" s="729" t="s">
        <v>149</v>
      </c>
      <c r="C74" s="1009" t="s">
        <v>148</v>
      </c>
      <c r="D74" s="1009"/>
      <c r="E74" s="1009"/>
      <c r="F74" s="728" t="s">
        <v>62</v>
      </c>
      <c r="G74" s="727" t="s">
        <v>63</v>
      </c>
      <c r="H74" s="728" t="s">
        <v>116</v>
      </c>
      <c r="I74" s="727" t="str">
        <f>IF($L74 = 0.25, 'Cadastro - Padrões Absorbância'!D$16, IF($L74 = 0.5, 'Cadastro - Padrões Absorbância'!D$15, 'Cadastro - Padrões Absorbância'!D$14))</f>
        <v>39343-5D</v>
      </c>
      <c r="J74" s="1011" t="s">
        <v>314</v>
      </c>
      <c r="K74" s="1011"/>
      <c r="L74" s="512">
        <v>0.25</v>
      </c>
      <c r="M74" s="1011" t="s">
        <v>162</v>
      </c>
      <c r="N74" s="1011"/>
      <c r="O74" s="253">
        <f>IF($AA74 = 1, VLOOKUP($I74,'Cadastro - Padrões Absorbância'!$D$7:$K$9,4,FALSE), IF($AA74 = 5, VLOOKUP($I74,'Cadastro - Padrões Absorbância'!$D$10:$K$12, 4,FALSE)))</f>
        <v>0.26579999999999998</v>
      </c>
      <c r="P74" s="253">
        <f>IF($AA74 = 1, VLOOKUP($I74,'Cadastro - Padrões Absorbância'!$D$7:$K$9,5,FALSE), IF($AA74 = 5, VLOOKUP($I74,'Cadastro - Padrões Absorbância'!$D$10:$K$12, 5,FALSE)))</f>
        <v>0.2407</v>
      </c>
      <c r="Q74" s="253">
        <f>IF($AA74 = 1, VLOOKUP($I74,'Cadastro - Padrões Absorbância'!$D$7:$K$9,6,FALSE), IF($AA74 = 5, VLOOKUP($I74,'Cadastro - Padrões Absorbância'!$D$10:$K$12, 6,FALSE)))</f>
        <v>0.25009999999999999</v>
      </c>
      <c r="R74" s="253">
        <f>IF($AA74 = 1, VLOOKUP($I74,'Cadastro - Padrões Absorbância'!$D$7:$K$9,7,FALSE), IF($AA74 = 5, VLOOKUP($I74,'Cadastro - Padrões Absorbância'!$D$10:$K$12, 7,FALSE)))</f>
        <v>0.29370000000000002</v>
      </c>
      <c r="S74" s="253">
        <f>IF($AA74 = 1, VLOOKUP($I74,'Cadastro - Padrões Absorbância'!$D$7:$K$9,8,FALSE), IF($AA74 = 5, VLOOKUP($I74,'Cadastro - Padrões Absorbância'!$D$10:$K$12, 8,FALSE)))</f>
        <v>0.30180000000000001</v>
      </c>
      <c r="T74" s="1017" t="str">
        <f xml:space="preserve"> CONCATENATE("Densidade neutra ", L74, " A")</f>
        <v>Densidade neutra 0,25 A</v>
      </c>
      <c r="U74" s="1010"/>
      <c r="V74" s="271" t="s">
        <v>176</v>
      </c>
      <c r="W74" s="1010" t="str">
        <f>CONCATENATE(L74, " A", " – ",I74)</f>
        <v>0,25 A – 39343-5D</v>
      </c>
      <c r="X74" s="1015"/>
      <c r="Y74" s="1016" t="s">
        <v>164</v>
      </c>
      <c r="Z74" s="1011"/>
      <c r="AA74" s="491">
        <v>5</v>
      </c>
      <c r="AB74" s="1011" t="s">
        <v>307</v>
      </c>
      <c r="AC74" s="1011"/>
      <c r="AD74" s="493">
        <f>VLOOKUP($I74,'Cadastro - Padrões Absorbância'!$D$7:$Q$12,14,FALSE)</f>
        <v>44414</v>
      </c>
      <c r="AE74" s="254"/>
      <c r="AF74" s="254"/>
      <c r="AG74" s="254"/>
      <c r="AH74" s="272"/>
    </row>
    <row r="75" spans="2:34" ht="3.75" customHeight="1" thickBot="1">
      <c r="B75" s="185"/>
      <c r="C75" s="185"/>
      <c r="D75" s="186"/>
      <c r="E75" s="186"/>
      <c r="F75" s="185"/>
      <c r="G75" s="186"/>
      <c r="H75" s="185"/>
      <c r="I75" s="186"/>
      <c r="J75" s="186"/>
      <c r="K75" s="186"/>
      <c r="L75" s="185"/>
      <c r="M75" s="185"/>
      <c r="N75" s="185"/>
      <c r="O75" s="187"/>
      <c r="P75" s="188"/>
      <c r="Q75" s="188"/>
      <c r="R75" s="189"/>
      <c r="S75" s="189"/>
      <c r="AH75" s="270"/>
    </row>
    <row r="76" spans="2:34" ht="15.75" thickBot="1">
      <c r="B76" s="998" t="s">
        <v>117</v>
      </c>
      <c r="C76" s="999"/>
      <c r="D76" s="999"/>
      <c r="E76" s="999"/>
      <c r="F76" s="999"/>
      <c r="G76" s="999"/>
      <c r="H76" s="999"/>
      <c r="I76" s="999"/>
      <c r="J76" s="999"/>
      <c r="K76" s="999"/>
      <c r="L76" s="999"/>
      <c r="M76" s="999"/>
      <c r="N76" s="999"/>
      <c r="O76" s="1000"/>
      <c r="P76" s="995" t="s">
        <v>118</v>
      </c>
      <c r="Q76" s="996"/>
      <c r="R76" s="996"/>
      <c r="S76" s="997"/>
      <c r="T76" s="976" t="s">
        <v>119</v>
      </c>
      <c r="U76" s="977"/>
      <c r="V76" s="977"/>
      <c r="W76" s="977"/>
      <c r="X76" s="978"/>
      <c r="Y76" s="976" t="s">
        <v>120</v>
      </c>
      <c r="Z76" s="977"/>
      <c r="AA76" s="977"/>
      <c r="AB76" s="977"/>
      <c r="AC76" s="978"/>
      <c r="AD76" s="976" t="s">
        <v>121</v>
      </c>
      <c r="AE76" s="977"/>
      <c r="AF76" s="977"/>
      <c r="AG76" s="977"/>
      <c r="AH76" s="978"/>
    </row>
    <row r="77" spans="2:34" ht="15.75" thickBot="1">
      <c r="B77" s="190" t="s">
        <v>122</v>
      </c>
      <c r="C77" s="998" t="s">
        <v>123</v>
      </c>
      <c r="D77" s="999"/>
      <c r="E77" s="999"/>
      <c r="F77" s="1000"/>
      <c r="G77" s="176">
        <v>440</v>
      </c>
      <c r="H77" s="176">
        <v>465</v>
      </c>
      <c r="I77" s="176">
        <v>546.1</v>
      </c>
      <c r="J77" s="176">
        <v>590</v>
      </c>
      <c r="K77" s="177">
        <v>635</v>
      </c>
      <c r="L77" s="726" t="s">
        <v>124</v>
      </c>
      <c r="M77" s="192" t="s">
        <v>125</v>
      </c>
      <c r="N77" s="193" t="s">
        <v>126</v>
      </c>
      <c r="O77" s="192" t="s">
        <v>127</v>
      </c>
      <c r="P77" s="194" t="s">
        <v>128</v>
      </c>
      <c r="Q77" s="1001" t="s">
        <v>124</v>
      </c>
      <c r="R77" s="1002"/>
      <c r="S77" s="1003"/>
      <c r="T77" s="257" t="s">
        <v>166</v>
      </c>
      <c r="U77" s="258" t="s">
        <v>167</v>
      </c>
      <c r="V77" s="258" t="s">
        <v>168</v>
      </c>
      <c r="W77" s="258" t="s">
        <v>169</v>
      </c>
      <c r="X77" s="259" t="s">
        <v>170</v>
      </c>
      <c r="Y77" s="257" t="s">
        <v>166</v>
      </c>
      <c r="Z77" s="258" t="s">
        <v>167</v>
      </c>
      <c r="AA77" s="258" t="s">
        <v>168</v>
      </c>
      <c r="AB77" s="258" t="s">
        <v>169</v>
      </c>
      <c r="AC77" s="259" t="s">
        <v>170</v>
      </c>
      <c r="AD77" s="257" t="s">
        <v>166</v>
      </c>
      <c r="AE77" s="258" t="s">
        <v>167</v>
      </c>
      <c r="AF77" s="258" t="s">
        <v>168</v>
      </c>
      <c r="AG77" s="258" t="s">
        <v>169</v>
      </c>
      <c r="AH77" s="259" t="s">
        <v>170</v>
      </c>
    </row>
    <row r="78" spans="2:34">
      <c r="B78" s="205" t="s">
        <v>139</v>
      </c>
      <c r="C78" s="982" t="s">
        <v>165</v>
      </c>
      <c r="D78" s="992"/>
      <c r="E78" s="992"/>
      <c r="F78" s="984"/>
      <c r="G78" s="513">
        <f>IF($AA74 = 1, VLOOKUP($I74,'Cadastro - Padrões Absorbância'!$D$7:$P$9,9,FALSE), IF($AA74 = 5, VLOOKUP($I74,'Cadastro - Padrões Absorbância'!$D$10:$P$12, 9,FALSE)))</f>
        <v>4.0000000000000001E-3</v>
      </c>
      <c r="H78" s="513">
        <f>IF($AA74 = 1, VLOOKUP($I74,'Cadastro - Padrões Absorbância'!$D$7:$P$9,10,FALSE), IF($AA74 = 5, VLOOKUP($I74,'Cadastro - Padrões Absorbância'!$D$10:$P$12, 10,FALSE)))</f>
        <v>4.0000000000000001E-3</v>
      </c>
      <c r="I78" s="513">
        <f>IF($AA74 = 1, VLOOKUP($I74,'Cadastro - Padrões Absorbância'!$D$7:$P$9,11,FALSE), IF($AA74 = 5, VLOOKUP($I74,'Cadastro - Padrões Absorbância'!$D$10:$P$12, 11,FALSE)))</f>
        <v>4.0000000000000001E-3</v>
      </c>
      <c r="J78" s="513">
        <f>IF($AA74 = 1, VLOOKUP($I74,'Cadastro - Padrões Absorbância'!$D$7:$P$9,12,FALSE), IF($AA74 = 5, VLOOKUP($I74,'Cadastro - Padrões Absorbância'!$D$10:$P$12, 12,FALSE)))</f>
        <v>4.0000000000000001E-3</v>
      </c>
      <c r="K78" s="513">
        <f>IF($AA74 = 1, VLOOKUP($I74,'Cadastro - Padrões Absorbância'!$D$7:$P$9,13,FALSE), IF($AA74 = 5, VLOOKUP($I74,'Cadastro - Padrões Absorbância'!$D$10:$P$12, 13,FALSE)))</f>
        <v>4.0000000000000001E-3</v>
      </c>
      <c r="L78" s="198" t="s">
        <v>59</v>
      </c>
      <c r="M78" s="196" t="s">
        <v>136</v>
      </c>
      <c r="N78" s="196" t="s">
        <v>132</v>
      </c>
      <c r="O78" s="198">
        <v>2</v>
      </c>
      <c r="P78" s="196">
        <v>1</v>
      </c>
      <c r="Q78" s="196" t="s">
        <v>130</v>
      </c>
      <c r="R78" s="196" t="s">
        <v>133</v>
      </c>
      <c r="S78" s="198" t="s">
        <v>130</v>
      </c>
      <c r="T78" s="525">
        <f>IF(ISNUMBER(G78),G78/$O$10,"")</f>
        <v>2E-3</v>
      </c>
      <c r="U78" s="526">
        <f>IF(ISNUMBER(H78),H78/$O$10,"")</f>
        <v>2E-3</v>
      </c>
      <c r="V78" s="526">
        <f>IF(ISNUMBER(I78),I78/$O$10,"")</f>
        <v>2E-3</v>
      </c>
      <c r="W78" s="526">
        <f>IF(ISNUMBER(J78),J78/$O$10,"")</f>
        <v>2E-3</v>
      </c>
      <c r="X78" s="527">
        <f>IF(ISNUMBER(K78),K78/$O$10,"")</f>
        <v>2E-3</v>
      </c>
      <c r="Y78" s="207" t="s">
        <v>138</v>
      </c>
      <c r="Z78" s="207" t="s">
        <v>138</v>
      </c>
      <c r="AA78" s="207" t="s">
        <v>138</v>
      </c>
      <c r="AB78" s="207" t="s">
        <v>138</v>
      </c>
      <c r="AC78" s="208" t="s">
        <v>138</v>
      </c>
      <c r="AD78" s="202">
        <f ca="1">IF(ISNUMBER(T78),IF(ISNUMBER(T$83),(T78^2)/(T$83^2),""),"")</f>
        <v>0.92282905576856711</v>
      </c>
      <c r="AE78" s="203">
        <f t="shared" ref="AE78:AH81" ca="1" si="11">IF(ISNUMBER(U78),IF(ISNUMBER(U$83),(U78^2)/(U$83^2),""),"")</f>
        <v>0.7867187037021357</v>
      </c>
      <c r="AF78" s="203">
        <f t="shared" ca="1" si="11"/>
        <v>0.79992039359720812</v>
      </c>
      <c r="AG78" s="203">
        <f t="shared" ca="1" si="11"/>
        <v>0.65750279690571278</v>
      </c>
      <c r="AH78" s="204">
        <f t="shared" ca="1" si="11"/>
        <v>0.84204543971792623</v>
      </c>
    </row>
    <row r="79" spans="2:34">
      <c r="B79" s="268" t="s">
        <v>140</v>
      </c>
      <c r="C79" s="1012" t="s">
        <v>177</v>
      </c>
      <c r="D79" s="1013"/>
      <c r="E79" s="1013"/>
      <c r="F79" s="1014"/>
      <c r="G79" s="517">
        <f ca="1">IF($AD74 = "", G78, ABS((((YEAR(TODAY())-YEAR($AD74))*12 - MONTH($AD74) + MONTH(TODAY())))*VLOOKUP($L$6,'Cadastro - Padrões Absorbância'!$F$41:$P$43,7,FALSE)))</f>
        <v>1.1818181818181779E-4</v>
      </c>
      <c r="H79" s="517">
        <f ca="1">IF($AD74 = "", H78, ABS((((YEAR(TODAY())-YEAR($AD74))*12 - MONTH($AD74) + MONTH(TODAY())))*VLOOKUP($L$6,'Cadastro - Padrões Absorbância'!$F$41:$P$43,8,FALSE)))</f>
        <v>1.1363636363636247E-4</v>
      </c>
      <c r="I79" s="517">
        <f ca="1">IF($AD74 = "", I78, ABS((((YEAR(TODAY())-YEAR($AD74))*12 - MONTH($AD74) + MONTH(TODAY())))*VLOOKUP($L$6,'Cadastro - Padrões Absorbância'!$F$41:$P$43,9,FALSE)))</f>
        <v>7.7272727272726337E-5</v>
      </c>
      <c r="J79" s="517">
        <f ca="1">IF($AD74 = "", J78, ABS((((YEAR(TODAY())-YEAR($AD74))*12 - MONTH($AD74) + MONTH(TODAY())))*VLOOKUP($L$6,'Cadastro - Padrões Absorbância'!$F$41:$P$43,10,FALSE)))</f>
        <v>5.9090909090907626E-5</v>
      </c>
      <c r="K79" s="517">
        <f ca="1">IF($AD74 = "", K78, ABS((((YEAR(TODAY())-YEAR($AD74))*12 - MONTH($AD74) + MONTH(TODAY())))*VLOOKUP($L$6,'Cadastro - Padrões Absorbância'!$F$41:$P$43,11,FALSE)))</f>
        <v>6.3636363636364196E-5</v>
      </c>
      <c r="L79" s="198" t="s">
        <v>59</v>
      </c>
      <c r="M79" s="256" t="s">
        <v>136</v>
      </c>
      <c r="N79" s="256" t="s">
        <v>137</v>
      </c>
      <c r="O79" s="198">
        <f>SQRT(12)</f>
        <v>3.4641016151377544</v>
      </c>
      <c r="P79" s="256">
        <v>1</v>
      </c>
      <c r="Q79" s="256" t="s">
        <v>130</v>
      </c>
      <c r="R79" s="256" t="s">
        <v>133</v>
      </c>
      <c r="S79" s="198" t="s">
        <v>130</v>
      </c>
      <c r="T79" s="206">
        <f ca="1">IF(ISNUMBER(G79),G79/$O$11,"")</f>
        <v>3.4116152270295958E-5</v>
      </c>
      <c r="U79" s="256">
        <f ca="1">IF(ISNUMBER(H79),H79/$O$11,"")</f>
        <v>3.2803992567592039E-5</v>
      </c>
      <c r="V79" s="256">
        <f ca="1">IF(ISNUMBER(I79),I79/$O$11,"")</f>
        <v>2.2306714945962546E-5</v>
      </c>
      <c r="W79" s="256">
        <f ca="1">IF(ISNUMBER(J79),J79/$O$11,"")</f>
        <v>1.7058076135147613E-5</v>
      </c>
      <c r="X79" s="198">
        <f ca="1">IF(ISNUMBER(K79),K79/$O$11,"")</f>
        <v>1.8370235837851891E-5</v>
      </c>
      <c r="Y79" s="269" t="s">
        <v>138</v>
      </c>
      <c r="Z79" s="269" t="s">
        <v>138</v>
      </c>
      <c r="AA79" s="269" t="s">
        <v>138</v>
      </c>
      <c r="AB79" s="269" t="s">
        <v>138</v>
      </c>
      <c r="AC79" s="208" t="s">
        <v>138</v>
      </c>
      <c r="AD79" s="209">
        <f t="shared" ref="AD79:AD81" ca="1" si="12">IF(ISNUMBER(T79),IF(ISNUMBER(T$83),(T79^2)/(T$83^2),""),"")</f>
        <v>2.6852291739822113E-4</v>
      </c>
      <c r="AE79" s="266">
        <f t="shared" ca="1" si="11"/>
        <v>2.1164737853556509E-4</v>
      </c>
      <c r="AF79" s="266">
        <f t="shared" ca="1" si="11"/>
        <v>9.950800350791478E-5</v>
      </c>
      <c r="AG79" s="266">
        <f t="shared" ca="1" si="11"/>
        <v>4.7829705869946619E-5</v>
      </c>
      <c r="AH79" s="210">
        <f t="shared" ca="1" si="11"/>
        <v>7.1040334962429603E-5</v>
      </c>
    </row>
    <row r="80" spans="2:34">
      <c r="B80" s="267" t="s">
        <v>129</v>
      </c>
      <c r="C80" s="982" t="s">
        <v>175</v>
      </c>
      <c r="D80" s="983"/>
      <c r="E80" s="983"/>
      <c r="F80" s="984"/>
      <c r="G80" s="196">
        <f>'Registro Original'!N$396</f>
        <v>4.9999999999994493E-4</v>
      </c>
      <c r="H80" s="196">
        <f>'Registro Original'!O$396</f>
        <v>1.0000000000000009E-3</v>
      </c>
      <c r="I80" s="196">
        <f>'Registro Original'!P$396</f>
        <v>9.5742710775629061E-4</v>
      </c>
      <c r="J80" s="196">
        <f>'Registro Original'!Q$396</f>
        <v>1.4142135623731488E-3</v>
      </c>
      <c r="K80" s="196">
        <f>'Registro Original'!R$396</f>
        <v>8.1649658092772682E-4</v>
      </c>
      <c r="L80" s="198" t="s">
        <v>59</v>
      </c>
      <c r="M80" s="196" t="s">
        <v>131</v>
      </c>
      <c r="N80" s="196" t="s">
        <v>132</v>
      </c>
      <c r="O80" s="198">
        <f>SQRT(3)</f>
        <v>1.7320508075688772</v>
      </c>
      <c r="P80" s="196">
        <v>1</v>
      </c>
      <c r="Q80" s="256" t="s">
        <v>130</v>
      </c>
      <c r="R80" s="256" t="s">
        <v>133</v>
      </c>
      <c r="S80" s="198" t="s">
        <v>130</v>
      </c>
      <c r="T80" s="206">
        <f>IF(ISNUMBER(G80),G80/$O$12,"")</f>
        <v>4.9999999999994493E-4</v>
      </c>
      <c r="U80" s="256">
        <f>IF(ISNUMBER(H80),H80/$O$12,"")</f>
        <v>1.0000000000000009E-3</v>
      </c>
      <c r="V80" s="256">
        <f>IF(ISNUMBER(I80),I80/$O$12,"")</f>
        <v>9.5742710775629061E-4</v>
      </c>
      <c r="W80" s="256">
        <f>IF(ISNUMBER(J80),J80/$O$12,"")</f>
        <v>1.4142135623731488E-3</v>
      </c>
      <c r="X80" s="198">
        <f>IF(ISNUMBER(K80),K80/$O$12,"")</f>
        <v>8.1649658092772682E-4</v>
      </c>
      <c r="Y80" s="201">
        <f>VLOOKUP($I74,'Registro Tratado'!$F$362:$R$400, 9, FALSE) - 1</f>
        <v>3</v>
      </c>
      <c r="Z80" s="201">
        <f>VLOOKUP($I74,'Registro Tratado'!$F$362:$R$400, 10, FALSE) - 1</f>
        <v>3</v>
      </c>
      <c r="AA80" s="201">
        <f>VLOOKUP($I74,'Registro Tratado'!$F$362:$R$400, 11, FALSE) - 1</f>
        <v>3</v>
      </c>
      <c r="AB80" s="201">
        <f>VLOOKUP($I74,'Registro Tratado'!$F$362:$R$400, 12, FALSE) - 1</f>
        <v>3</v>
      </c>
      <c r="AC80" s="201">
        <f>VLOOKUP($I74,'Registro Tratado'!$F$362:$R$400, 13, FALSE) - 1</f>
        <v>3</v>
      </c>
      <c r="AD80" s="209">
        <f t="shared" ca="1" si="12"/>
        <v>5.7676815985522746E-2</v>
      </c>
      <c r="AE80" s="266">
        <f t="shared" ca="1" si="11"/>
        <v>0.19667967592553431</v>
      </c>
      <c r="AF80" s="266">
        <f t="shared" ca="1" si="11"/>
        <v>0.18331509019934203</v>
      </c>
      <c r="AG80" s="266">
        <f t="shared" ca="1" si="11"/>
        <v>0.32875139845288143</v>
      </c>
      <c r="AH80" s="210">
        <f t="shared" ca="1" si="11"/>
        <v>0.14034090661965465</v>
      </c>
    </row>
    <row r="81" spans="2:34" ht="15.75" thickBot="1">
      <c r="B81" s="205" t="s">
        <v>134</v>
      </c>
      <c r="C81" s="973" t="s">
        <v>135</v>
      </c>
      <c r="D81" s="974"/>
      <c r="E81" s="974"/>
      <c r="F81" s="975"/>
      <c r="G81" s="213">
        <f>IF(ISNUMBER('Registro Original'!$G$46),'Registro Original'!$G$46,"")</f>
        <v>1E-3</v>
      </c>
      <c r="H81" s="213">
        <f>IF(ISNUMBER('Registro Original'!$G$46),'Registro Original'!$G$46,"")</f>
        <v>1E-3</v>
      </c>
      <c r="I81" s="213">
        <f>IF(ISNUMBER('Registro Original'!$G$46),'Registro Original'!$G$46,"")</f>
        <v>1E-3</v>
      </c>
      <c r="J81" s="213">
        <f>IF(ISNUMBER('Registro Original'!$G$46),'Registro Original'!$G$46,"")</f>
        <v>1E-3</v>
      </c>
      <c r="K81" s="213">
        <f>IF(ISNUMBER('Registro Original'!$G$46),'Registro Original'!$G$46,"")</f>
        <v>1E-3</v>
      </c>
      <c r="L81" s="212" t="s">
        <v>59</v>
      </c>
      <c r="M81" s="213" t="s">
        <v>136</v>
      </c>
      <c r="N81" s="213" t="s">
        <v>137</v>
      </c>
      <c r="O81" s="212">
        <f>SQRT(12)</f>
        <v>3.4641016151377544</v>
      </c>
      <c r="P81" s="213">
        <v>1</v>
      </c>
      <c r="Q81" s="213" t="s">
        <v>130</v>
      </c>
      <c r="R81" s="213" t="s">
        <v>133</v>
      </c>
      <c r="S81" s="212" t="s">
        <v>130</v>
      </c>
      <c r="T81" s="214">
        <f>IF(ISNUMBER(G81),G81/$O$13,"")</f>
        <v>2.886751345948129E-4</v>
      </c>
      <c r="U81" s="213">
        <f>IF(ISNUMBER(H81),H81/$O$13,"")</f>
        <v>2.886751345948129E-4</v>
      </c>
      <c r="V81" s="213">
        <f>IF(ISNUMBER(I81),I81/$O$13,"")</f>
        <v>2.886751345948129E-4</v>
      </c>
      <c r="W81" s="213">
        <f>IF(ISNUMBER(J81),J81/$O$13,"")</f>
        <v>2.886751345948129E-4</v>
      </c>
      <c r="X81" s="212">
        <f>IF(ISNUMBER(K81),K81/$O$13,"")</f>
        <v>2.886751345948129E-4</v>
      </c>
      <c r="Y81" s="207" t="s">
        <v>138</v>
      </c>
      <c r="Z81" s="207" t="s">
        <v>138</v>
      </c>
      <c r="AA81" s="207" t="s">
        <v>138</v>
      </c>
      <c r="AB81" s="207" t="s">
        <v>138</v>
      </c>
      <c r="AC81" s="208" t="s">
        <v>138</v>
      </c>
      <c r="AD81" s="215">
        <f t="shared" ca="1" si="12"/>
        <v>1.9225605328511818E-2</v>
      </c>
      <c r="AE81" s="216">
        <f t="shared" ca="1" si="11"/>
        <v>1.6389972993794497E-2</v>
      </c>
      <c r="AF81" s="216">
        <f t="shared" ca="1" si="11"/>
        <v>1.6665008199941839E-2</v>
      </c>
      <c r="AG81" s="216">
        <f t="shared" ca="1" si="11"/>
        <v>1.3697974935535685E-2</v>
      </c>
      <c r="AH81" s="217">
        <f t="shared" ca="1" si="11"/>
        <v>1.75426133274568E-2</v>
      </c>
    </row>
    <row r="82" spans="2:34" ht="15.75" thickBot="1">
      <c r="B82" s="218"/>
      <c r="C82" s="219"/>
      <c r="D82" s="219"/>
      <c r="E82" s="219"/>
      <c r="F82" s="219"/>
      <c r="G82" s="196"/>
      <c r="H82" s="196"/>
      <c r="I82" s="196"/>
      <c r="J82" s="196"/>
      <c r="K82" s="196"/>
      <c r="L82" s="196"/>
      <c r="M82" s="196"/>
      <c r="N82" s="196"/>
      <c r="O82" s="196"/>
      <c r="P82" s="196"/>
      <c r="Q82" s="196"/>
      <c r="R82" s="196"/>
      <c r="S82" s="196"/>
      <c r="T82" s="196"/>
      <c r="U82" s="196"/>
      <c r="V82" s="196"/>
      <c r="W82" s="196"/>
      <c r="X82" s="196"/>
      <c r="Y82" s="976" t="s">
        <v>141</v>
      </c>
      <c r="Z82" s="977"/>
      <c r="AA82" s="977"/>
      <c r="AB82" s="977"/>
      <c r="AC82" s="978"/>
      <c r="AD82" s="196"/>
      <c r="AE82" s="196"/>
      <c r="AF82" s="196"/>
      <c r="AG82" s="196"/>
      <c r="AH82" s="196"/>
    </row>
    <row r="83" spans="2:34" ht="15.75" thickBot="1">
      <c r="B83" s="195" t="s">
        <v>142</v>
      </c>
      <c r="C83" s="993" t="s">
        <v>143</v>
      </c>
      <c r="D83" s="993"/>
      <c r="E83" s="993"/>
      <c r="F83" s="993"/>
      <c r="G83" s="993"/>
      <c r="H83" s="993"/>
      <c r="I83" s="993"/>
      <c r="J83" s="993"/>
      <c r="K83" s="993"/>
      <c r="L83" s="993"/>
      <c r="M83" s="993"/>
      <c r="N83" s="993"/>
      <c r="O83" s="993"/>
      <c r="P83" s="993"/>
      <c r="Q83" s="993"/>
      <c r="R83" s="994"/>
      <c r="S83" s="220" t="s">
        <v>130</v>
      </c>
      <c r="T83" s="221">
        <f ca="1" xml:space="preserve"> IF(ISNUMBER(T80),SQRT(SUMSQ($P80*T80,$P81*T81,$P78*T78,$P79*T79)),"")</f>
        <v>2.0819455432789322E-3</v>
      </c>
      <c r="U83" s="222">
        <f ca="1" xml:space="preserve"> IF(ISNUMBER(U80),SQRT(SUMSQ($P80*U80,$P81*U81,$P78*U78,$P79*U79)),"")</f>
        <v>2.2548635070136084E-3</v>
      </c>
      <c r="V83" s="222">
        <f ca="1" xml:space="preserve"> IF(ISNUMBER(V80),SQRT(SUMSQ($P80*V80,$P81*V81,$P78*V78,$P79*V79)),"")</f>
        <v>2.23617923913348E-3</v>
      </c>
      <c r="W83" s="222">
        <f ca="1" xml:space="preserve"> IF(ISNUMBER(W80),SQRT(SUMSQ($P80*W80,$P81*W81,$P78*W78,$P79*W79)),"")</f>
        <v>2.4665004178582492E-3</v>
      </c>
      <c r="X83" s="223">
        <f ca="1" xml:space="preserve"> IF(ISNUMBER(X80),SQRT(SUMSQ($P80*X80,$P81*X81,$P78*X78,$P79*X79)),"")</f>
        <v>2.1795268903054945E-3</v>
      </c>
      <c r="Y83" s="531">
        <f ca="1">IF(Y80="","",IF(T80 = 0, "∞", IF((T83^4)/((T80^4)/Y80) &gt; 1000000, "∞", (T83^4)/((T80^4)/Y80))))</f>
        <v>901.81758568668886</v>
      </c>
      <c r="Z83" s="532">
        <f ca="1">IF(Z80="","",IF(U80 = 0, "∞", IF((U83^4)/((U80^4)/Z80) &gt; 1000000, "∞", (U83^4)/((U80^4)/Z80))))</f>
        <v>77.553657916134583</v>
      </c>
      <c r="AA83" s="532">
        <f ca="1">IF(AA80="","",IF(V80 = 0, "∞", IF((V83^4)/((V80^4)/AA80) &gt; 1000000, "∞", (V83^4)/((V80^4)/AA80))))</f>
        <v>89.273964411072726</v>
      </c>
      <c r="AB83" s="532">
        <f ca="1">IF(AB80="","",IF(W80 = 0, "∞", IF((W83^4)/((W80^4)/AB80) &gt; 1000000, "∞", (W83^4)/((W80^4)/AB80))))</f>
        <v>27.757863570729707</v>
      </c>
      <c r="AC83" s="533">
        <f ca="1">IF(AC80="","",IF(V80 = 0, "∞", IF((V83^4)/((V80^4)/AC80) &gt; 1000000, "∞", (V83^4)/((V80^4)/AC80))))</f>
        <v>89.273964411072726</v>
      </c>
      <c r="AD83" s="218"/>
      <c r="AE83" s="218"/>
      <c r="AF83" s="218"/>
      <c r="AG83" s="218"/>
      <c r="AH83" s="218"/>
    </row>
    <row r="84" spans="2:34">
      <c r="B84" s="205" t="s">
        <v>144</v>
      </c>
      <c r="C84" s="985" t="s">
        <v>145</v>
      </c>
      <c r="D84" s="985"/>
      <c r="E84" s="985"/>
      <c r="F84" s="985"/>
      <c r="G84" s="985"/>
      <c r="H84" s="985"/>
      <c r="I84" s="985"/>
      <c r="J84" s="985"/>
      <c r="K84" s="985"/>
      <c r="L84" s="985"/>
      <c r="M84" s="985"/>
      <c r="N84" s="985"/>
      <c r="O84" s="985"/>
      <c r="P84" s="985"/>
      <c r="Q84" s="985"/>
      <c r="R84" s="986"/>
      <c r="S84" s="224" t="s">
        <v>130</v>
      </c>
      <c r="T84" s="225">
        <f ca="1">IF(ISNUMBER(Y85),T83*Y85,"")</f>
        <v>4.169680818689364E-3</v>
      </c>
      <c r="U84" s="226">
        <f ca="1">IF(ISNUMBER(Z85),U83*Z85,"")</f>
        <v>4.5841215612532366E-3</v>
      </c>
      <c r="V84" s="226">
        <f ca="1">IF(ISNUMBER(AA85),V83*AA85,"")</f>
        <v>4.5360518818669156E-3</v>
      </c>
      <c r="W84" s="226">
        <f ca="1">IF(ISNUMBER(AB85),W83*AB85,"")</f>
        <v>5.1721160058711101E-3</v>
      </c>
      <c r="X84" s="226">
        <f ca="1">IF(ISNUMBER(AC85),X83*AC85,"")</f>
        <v>4.4211335474971967E-3</v>
      </c>
      <c r="Y84" s="976" t="s">
        <v>146</v>
      </c>
      <c r="Z84" s="977"/>
      <c r="AA84" s="977"/>
      <c r="AB84" s="977"/>
      <c r="AC84" s="978"/>
      <c r="AD84" s="218"/>
      <c r="AE84" s="218"/>
      <c r="AF84" s="218"/>
      <c r="AG84" s="218"/>
      <c r="AH84" s="218"/>
    </row>
    <row r="85" spans="2:34" ht="15.75" thickBot="1">
      <c r="B85" s="211" t="s">
        <v>144</v>
      </c>
      <c r="C85" s="987" t="s">
        <v>147</v>
      </c>
      <c r="D85" s="987"/>
      <c r="E85" s="987"/>
      <c r="F85" s="987"/>
      <c r="G85" s="987"/>
      <c r="H85" s="987"/>
      <c r="I85" s="987"/>
      <c r="J85" s="987"/>
      <c r="K85" s="987"/>
      <c r="L85" s="987"/>
      <c r="M85" s="987"/>
      <c r="N85" s="987"/>
      <c r="O85" s="987"/>
      <c r="P85" s="987"/>
      <c r="Q85" s="987"/>
      <c r="R85" s="988"/>
      <c r="S85" s="227" t="s">
        <v>130</v>
      </c>
      <c r="T85" s="518">
        <f ca="1">IF(ISNUMBER(T84), IF(((T84-ROUNDDOWN(T84,2))/T84)*100 &gt; 5,ROUNDUP(T84,2), ROUNDDOWN(T84,2)),"")</f>
        <v>0.01</v>
      </c>
      <c r="U85" s="518">
        <f ca="1">IF(ISNUMBER(U84), IF(((U84-ROUNDDOWN(U84,2))/U84)*100 &gt; 5,ROUNDUP(U84,2), ROUNDDOWN(U84,2)),"")</f>
        <v>0.01</v>
      </c>
      <c r="V85" s="518">
        <f ca="1">IF(ISNUMBER(V84), IF(((V84-ROUNDDOWN(V84,2))/V84)*100 &gt; 5,ROUNDUP(V84,2), ROUNDDOWN(V84,2)),"")</f>
        <v>0.01</v>
      </c>
      <c r="W85" s="518">
        <f ca="1">IF(ISNUMBER(W84), IF(((W84-ROUNDDOWN(W84,2))/W84)*100 &gt; 5,ROUNDUP(W84,2), ROUNDDOWN(W84,2)),"")</f>
        <v>0.01</v>
      </c>
      <c r="X85" s="518">
        <f ca="1">IF(ISNUMBER(X84), IF(((X84-ROUNDDOWN(X84,2))/X84)*100 &gt; 5,ROUNDUP(X84,2), ROUNDDOWN(X84,2)),"")</f>
        <v>0.01</v>
      </c>
      <c r="Y85" s="480">
        <f ca="1">IF(Y83 ="∞", 2, IF(ISNUMBER(Y83), IF(Y83 &gt; 1000000, 2,_xlfn.T.INV.2T(1-0.9545,Y83))))</f>
        <v>2.0027809239056182</v>
      </c>
      <c r="Z85" s="481">
        <f ca="1">IF(Z83 ="∞", 2, IF(ISNUMBER(Z83), IF(Z83 &gt; 1000000, 2,_xlfn.T.INV.2T(1-0.9545,Z83))))</f>
        <v>2.0329929270639311</v>
      </c>
      <c r="AA85" s="481">
        <f ca="1">IF(AA83 ="∞", 2, IF(ISNUMBER(AA83), IF(AA83 &gt; 1000000, 2,_xlfn.T.INV.2T(1-0.9545,AA83))))</f>
        <v>2.0284831387776574</v>
      </c>
      <c r="AB85" s="481">
        <f ca="1">IF(AB83 ="∞", 2, IF(ISNUMBER(AB83), IF(AB83 &gt; 1000000, 2,_xlfn.T.INV.2T(1-0.9545,AB83))))</f>
        <v>2.0969451164181208</v>
      </c>
      <c r="AC85" s="482">
        <f ca="1">IF(AC83 ="∞", 2, IF(ISNUMBER(AC83), IF(AC83 &gt; 1000000, 2,_xlfn.T.INV.2T(1-0.9545,AC83))))</f>
        <v>2.0284831387776574</v>
      </c>
      <c r="AD85" s="218"/>
      <c r="AE85" s="218"/>
      <c r="AF85" s="218"/>
      <c r="AG85" s="218"/>
      <c r="AH85" s="218"/>
    </row>
  </sheetData>
  <mergeCells count="143">
    <mergeCell ref="AD8:AH8"/>
    <mergeCell ref="B1:T1"/>
    <mergeCell ref="U1:AH2"/>
    <mergeCell ref="B2:T2"/>
    <mergeCell ref="B4:AH4"/>
    <mergeCell ref="C6:E6"/>
    <mergeCell ref="J6:K6"/>
    <mergeCell ref="M6:N6"/>
    <mergeCell ref="T6:U6"/>
    <mergeCell ref="W6:X6"/>
    <mergeCell ref="Y6:Z6"/>
    <mergeCell ref="C9:F9"/>
    <mergeCell ref="Q9:S9"/>
    <mergeCell ref="C10:F10"/>
    <mergeCell ref="C11:F11"/>
    <mergeCell ref="C12:F12"/>
    <mergeCell ref="C13:F13"/>
    <mergeCell ref="AB6:AC6"/>
    <mergeCell ref="B8:O8"/>
    <mergeCell ref="P8:S8"/>
    <mergeCell ref="T8:X8"/>
    <mergeCell ref="Y8:AC8"/>
    <mergeCell ref="Y14:AC14"/>
    <mergeCell ref="C15:R15"/>
    <mergeCell ref="C16:R16"/>
    <mergeCell ref="Y16:AC16"/>
    <mergeCell ref="C17:R17"/>
    <mergeCell ref="C19:E19"/>
    <mergeCell ref="J19:K19"/>
    <mergeCell ref="M19:N19"/>
    <mergeCell ref="T19:U19"/>
    <mergeCell ref="W19:X19"/>
    <mergeCell ref="AD21:AH21"/>
    <mergeCell ref="C22:F22"/>
    <mergeCell ref="Q22:S22"/>
    <mergeCell ref="C23:F23"/>
    <mergeCell ref="C24:F24"/>
    <mergeCell ref="C25:F25"/>
    <mergeCell ref="Y19:Z19"/>
    <mergeCell ref="AB19:AC19"/>
    <mergeCell ref="B21:O21"/>
    <mergeCell ref="P21:S21"/>
    <mergeCell ref="T21:X21"/>
    <mergeCell ref="Y21:AC21"/>
    <mergeCell ref="AD34:AH34"/>
    <mergeCell ref="C32:E32"/>
    <mergeCell ref="J32:K32"/>
    <mergeCell ref="M32:N32"/>
    <mergeCell ref="T32:U32"/>
    <mergeCell ref="W32:X32"/>
    <mergeCell ref="Y32:Z32"/>
    <mergeCell ref="C26:F26"/>
    <mergeCell ref="Y27:AC27"/>
    <mergeCell ref="C28:R28"/>
    <mergeCell ref="C29:R29"/>
    <mergeCell ref="Y29:AC29"/>
    <mergeCell ref="C30:R30"/>
    <mergeCell ref="C35:F35"/>
    <mergeCell ref="Q35:S35"/>
    <mergeCell ref="C36:F36"/>
    <mergeCell ref="C37:F37"/>
    <mergeCell ref="C38:F38"/>
    <mergeCell ref="C39:F39"/>
    <mergeCell ref="AB32:AC32"/>
    <mergeCell ref="B34:O34"/>
    <mergeCell ref="P34:S34"/>
    <mergeCell ref="T34:X34"/>
    <mergeCell ref="Y34:AC34"/>
    <mergeCell ref="AD50:AH50"/>
    <mergeCell ref="C48:E48"/>
    <mergeCell ref="J48:K48"/>
    <mergeCell ref="M48:N48"/>
    <mergeCell ref="T48:U48"/>
    <mergeCell ref="W48:X48"/>
    <mergeCell ref="Y48:Z48"/>
    <mergeCell ref="Y40:AC40"/>
    <mergeCell ref="C41:R41"/>
    <mergeCell ref="C42:R42"/>
    <mergeCell ref="Y42:AC42"/>
    <mergeCell ref="C43:R43"/>
    <mergeCell ref="B46:AH46"/>
    <mergeCell ref="C51:F51"/>
    <mergeCell ref="Q51:S51"/>
    <mergeCell ref="C52:F52"/>
    <mergeCell ref="C53:F53"/>
    <mergeCell ref="C54:F54"/>
    <mergeCell ref="C55:F55"/>
    <mergeCell ref="AB48:AC48"/>
    <mergeCell ref="B50:O50"/>
    <mergeCell ref="P50:S50"/>
    <mergeCell ref="T50:X50"/>
    <mergeCell ref="Y50:AC50"/>
    <mergeCell ref="Y61:Z61"/>
    <mergeCell ref="AB61:AC61"/>
    <mergeCell ref="B63:O63"/>
    <mergeCell ref="P63:S63"/>
    <mergeCell ref="T63:X63"/>
    <mergeCell ref="Y63:AC63"/>
    <mergeCell ref="Y56:AC56"/>
    <mergeCell ref="C57:R57"/>
    <mergeCell ref="C58:R58"/>
    <mergeCell ref="Y58:AC58"/>
    <mergeCell ref="C59:R59"/>
    <mergeCell ref="C61:E61"/>
    <mergeCell ref="J61:K61"/>
    <mergeCell ref="M61:N61"/>
    <mergeCell ref="T61:U61"/>
    <mergeCell ref="W61:X61"/>
    <mergeCell ref="C68:F68"/>
    <mergeCell ref="Y69:AC69"/>
    <mergeCell ref="C70:R70"/>
    <mergeCell ref="C71:R71"/>
    <mergeCell ref="Y71:AC71"/>
    <mergeCell ref="C72:R72"/>
    <mergeCell ref="AD63:AH63"/>
    <mergeCell ref="C64:F64"/>
    <mergeCell ref="Q64:S64"/>
    <mergeCell ref="C65:F65"/>
    <mergeCell ref="C66:F66"/>
    <mergeCell ref="C67:F67"/>
    <mergeCell ref="AB74:AC74"/>
    <mergeCell ref="B76:O76"/>
    <mergeCell ref="P76:S76"/>
    <mergeCell ref="T76:X76"/>
    <mergeCell ref="Y76:AC76"/>
    <mergeCell ref="AD76:AH76"/>
    <mergeCell ref="C74:E74"/>
    <mergeCell ref="J74:K74"/>
    <mergeCell ref="M74:N74"/>
    <mergeCell ref="T74:U74"/>
    <mergeCell ref="W74:X74"/>
    <mergeCell ref="Y74:Z74"/>
    <mergeCell ref="Y82:AC82"/>
    <mergeCell ref="C83:R83"/>
    <mergeCell ref="C84:R84"/>
    <mergeCell ref="Y84:AC84"/>
    <mergeCell ref="C85:R85"/>
    <mergeCell ref="C77:F77"/>
    <mergeCell ref="Q77:S77"/>
    <mergeCell ref="C78:F78"/>
    <mergeCell ref="C79:F79"/>
    <mergeCell ref="C80:F80"/>
    <mergeCell ref="C81:F81"/>
  </mergeCells>
  <dataValidations count="2">
    <dataValidation type="list" allowBlank="1" showInputMessage="1" showErrorMessage="1" sqref="L6 L19 L32 L48 L61 L74" xr:uid="{C441C445-8098-4CA4-BCEB-A2771E146893}">
      <formula1>Absorbâncias_Nominais</formula1>
    </dataValidation>
    <dataValidation type="list" allowBlank="1" showInputMessage="1" showErrorMessage="1" sqref="AA74 AA61 AA48" xr:uid="{BE32E824-8C0E-4821-A7A8-F07D0677F1D4}">
      <formula1>Larguras_de_Banda_Calibradas___A</formula1>
    </dataValidation>
  </dataValidations>
  <pageMargins left="0.511811024" right="0.511811024" top="0.78740157499999996" bottom="0.78740157499999996" header="0.31496062000000002" footer="0.31496062000000002"/>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4:T21"/>
  <sheetViews>
    <sheetView workbookViewId="0">
      <selection activeCell="D10" sqref="D10"/>
    </sheetView>
  </sheetViews>
  <sheetFormatPr defaultRowHeight="15"/>
  <cols>
    <col min="2" max="2" width="6.7109375" customWidth="1"/>
  </cols>
  <sheetData>
    <row r="4" spans="2:20">
      <c r="B4" s="561" t="s">
        <v>469</v>
      </c>
      <c r="C4" s="519" t="s">
        <v>316</v>
      </c>
    </row>
    <row r="5" spans="2:20">
      <c r="B5" t="s">
        <v>376</v>
      </c>
      <c r="C5" t="s">
        <v>366</v>
      </c>
    </row>
    <row r="6" spans="2:20">
      <c r="B6" t="s">
        <v>376</v>
      </c>
      <c r="C6" t="s">
        <v>372</v>
      </c>
    </row>
    <row r="7" spans="2:20">
      <c r="B7" t="s">
        <v>376</v>
      </c>
      <c r="C7" t="s">
        <v>377</v>
      </c>
    </row>
    <row r="12" spans="2:20">
      <c r="B12" s="29" t="s">
        <v>382</v>
      </c>
    </row>
    <row r="13" spans="2:20">
      <c r="B13" s="619">
        <v>1</v>
      </c>
      <c r="C13" s="1084" t="s">
        <v>383</v>
      </c>
      <c r="D13" s="1084"/>
      <c r="E13" s="1084"/>
      <c r="F13" s="1084"/>
      <c r="G13" s="1084"/>
      <c r="H13" s="1084"/>
      <c r="I13" s="1084"/>
      <c r="J13" s="1084"/>
      <c r="K13" s="1084"/>
      <c r="L13" s="1084"/>
      <c r="M13" s="1084"/>
      <c r="N13" s="1084"/>
      <c r="O13" s="1084"/>
      <c r="P13" s="1084"/>
      <c r="Q13" s="1084"/>
      <c r="R13" s="1084"/>
      <c r="S13" s="1084"/>
      <c r="T13" s="1084"/>
    </row>
    <row r="14" spans="2:20">
      <c r="B14" s="619">
        <v>2</v>
      </c>
      <c r="C14" s="1084" t="s">
        <v>384</v>
      </c>
      <c r="D14" s="1084"/>
      <c r="E14" s="1084"/>
      <c r="F14" s="1084"/>
      <c r="G14" s="1084"/>
      <c r="H14" s="1084"/>
      <c r="I14" s="1084"/>
      <c r="J14" s="1084"/>
      <c r="K14" s="1084"/>
      <c r="L14" s="1084"/>
      <c r="M14" s="1084"/>
      <c r="N14" s="1084"/>
      <c r="O14" s="1084"/>
      <c r="P14" s="1084"/>
      <c r="Q14" s="1084"/>
      <c r="R14" s="1084"/>
      <c r="S14" s="1084"/>
      <c r="T14" s="1084"/>
    </row>
    <row r="15" spans="2:20">
      <c r="B15" s="619">
        <v>3</v>
      </c>
      <c r="C15" s="1084" t="s">
        <v>385</v>
      </c>
      <c r="D15" s="1084"/>
      <c r="E15" s="1084"/>
      <c r="F15" s="1084"/>
      <c r="G15" s="1084"/>
      <c r="H15" s="1084"/>
      <c r="I15" s="1084"/>
      <c r="J15" s="1084"/>
      <c r="K15" s="1084"/>
      <c r="L15" s="1084"/>
      <c r="M15" s="1084"/>
      <c r="N15" s="1084"/>
      <c r="O15" s="1084"/>
      <c r="P15" s="1084"/>
      <c r="Q15" s="1084"/>
      <c r="R15" s="1084"/>
      <c r="S15" s="1084"/>
      <c r="T15" s="1084"/>
    </row>
    <row r="16" spans="2:20">
      <c r="B16" s="619">
        <v>4</v>
      </c>
      <c r="C16" s="1084" t="s">
        <v>386</v>
      </c>
      <c r="D16" s="1084"/>
      <c r="E16" s="1084"/>
      <c r="F16" s="1084"/>
      <c r="G16" s="1084"/>
      <c r="H16" s="1084"/>
      <c r="I16" s="1084"/>
      <c r="J16" s="1084"/>
      <c r="K16" s="1084"/>
      <c r="L16" s="1084"/>
      <c r="M16" s="1084"/>
      <c r="N16" s="1084"/>
      <c r="O16" s="1084"/>
      <c r="P16" s="1084"/>
      <c r="Q16" s="1084"/>
      <c r="R16" s="1084"/>
      <c r="S16" s="1084"/>
      <c r="T16" s="1084"/>
    </row>
    <row r="17" spans="2:20">
      <c r="B17" s="1083">
        <v>5</v>
      </c>
      <c r="C17" s="1085" t="s">
        <v>388</v>
      </c>
      <c r="D17" s="1085"/>
      <c r="E17" s="1085"/>
      <c r="F17" s="1085"/>
      <c r="G17" s="1085"/>
      <c r="H17" s="1085"/>
      <c r="I17" s="1085"/>
      <c r="J17" s="1085"/>
      <c r="K17" s="1085"/>
      <c r="L17" s="1085"/>
      <c r="M17" s="1085"/>
      <c r="N17" s="1085"/>
      <c r="O17" s="1085"/>
      <c r="P17" s="1085"/>
      <c r="Q17" s="1085"/>
      <c r="R17" s="1085"/>
      <c r="S17" s="1085"/>
      <c r="T17" s="1085"/>
    </row>
    <row r="18" spans="2:20">
      <c r="B18" s="1083"/>
      <c r="C18" s="1085"/>
      <c r="D18" s="1085"/>
      <c r="E18" s="1085"/>
      <c r="F18" s="1085"/>
      <c r="G18" s="1085"/>
      <c r="H18" s="1085"/>
      <c r="I18" s="1085"/>
      <c r="J18" s="1085"/>
      <c r="K18" s="1085"/>
      <c r="L18" s="1085"/>
      <c r="M18" s="1085"/>
      <c r="N18" s="1085"/>
      <c r="O18" s="1085"/>
      <c r="P18" s="1085"/>
      <c r="Q18" s="1085"/>
      <c r="R18" s="1085"/>
      <c r="S18" s="1085"/>
      <c r="T18" s="1085"/>
    </row>
    <row r="19" spans="2:20">
      <c r="B19" s="619">
        <v>7</v>
      </c>
      <c r="C19" s="1084" t="s">
        <v>387</v>
      </c>
      <c r="D19" s="1084"/>
      <c r="E19" s="1084"/>
      <c r="F19" s="1084"/>
      <c r="G19" s="1084"/>
      <c r="H19" s="1084"/>
      <c r="I19" s="1084"/>
      <c r="J19" s="1084"/>
      <c r="K19" s="1084"/>
      <c r="L19" s="1084"/>
      <c r="M19" s="1084"/>
      <c r="N19" s="1084"/>
      <c r="O19" s="1084"/>
      <c r="P19" s="1084"/>
      <c r="Q19" s="1084"/>
      <c r="R19" s="1084"/>
      <c r="S19" s="1084"/>
      <c r="T19" s="1084"/>
    </row>
    <row r="20" spans="2:20">
      <c r="B20" s="619">
        <v>8</v>
      </c>
      <c r="C20" s="1084" t="s">
        <v>389</v>
      </c>
      <c r="D20" s="1084"/>
      <c r="E20" s="1084"/>
      <c r="F20" s="1084"/>
      <c r="G20" s="1084"/>
      <c r="H20" s="1084"/>
      <c r="I20" s="1084"/>
      <c r="J20" s="1084"/>
      <c r="K20" s="1084"/>
      <c r="L20" s="1084"/>
      <c r="M20" s="1084"/>
      <c r="N20" s="1084"/>
      <c r="O20" s="1084"/>
      <c r="P20" s="1084"/>
      <c r="Q20" s="1084"/>
      <c r="R20" s="1084"/>
      <c r="S20" s="1084"/>
      <c r="T20" s="1084"/>
    </row>
    <row r="21" spans="2:20">
      <c r="B21" s="619">
        <v>9</v>
      </c>
      <c r="C21" s="1020"/>
      <c r="D21" s="1020"/>
      <c r="E21" s="1020"/>
      <c r="F21" s="1020"/>
      <c r="G21" s="1020"/>
      <c r="H21" s="1020"/>
      <c r="I21" s="1020"/>
      <c r="J21" s="1020"/>
      <c r="K21" s="1020"/>
      <c r="L21" s="1020"/>
      <c r="M21" s="1020"/>
      <c r="N21" s="1020"/>
      <c r="O21" s="1020"/>
      <c r="P21" s="1020"/>
      <c r="Q21" s="1020"/>
      <c r="R21" s="1020"/>
      <c r="S21" s="1020"/>
      <c r="T21" s="1020"/>
    </row>
  </sheetData>
  <mergeCells count="9">
    <mergeCell ref="B17:B18"/>
    <mergeCell ref="C20:T20"/>
    <mergeCell ref="C21:T21"/>
    <mergeCell ref="C14:T14"/>
    <mergeCell ref="C13:T13"/>
    <mergeCell ref="C16:T16"/>
    <mergeCell ref="C15:T15"/>
    <mergeCell ref="C19:T19"/>
    <mergeCell ref="C17:T18"/>
  </mergeCells>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S10"/>
  <sheetViews>
    <sheetView workbookViewId="0">
      <selection activeCell="D15" sqref="D15"/>
    </sheetView>
  </sheetViews>
  <sheetFormatPr defaultRowHeight="15"/>
  <cols>
    <col min="2" max="2" width="4.85546875" customWidth="1"/>
  </cols>
  <sheetData>
    <row r="3" spans="2:19">
      <c r="B3" t="s">
        <v>104</v>
      </c>
      <c r="C3" t="s">
        <v>466</v>
      </c>
    </row>
    <row r="4" spans="2:19">
      <c r="B4" t="s">
        <v>105</v>
      </c>
      <c r="C4" t="s">
        <v>468</v>
      </c>
    </row>
    <row r="5" spans="2:19">
      <c r="B5" t="s">
        <v>317</v>
      </c>
      <c r="C5" t="s">
        <v>318</v>
      </c>
    </row>
    <row r="6" spans="2:19">
      <c r="B6" t="s">
        <v>452</v>
      </c>
      <c r="C6" t="s">
        <v>453</v>
      </c>
    </row>
    <row r="7" spans="2:19">
      <c r="B7" t="s">
        <v>456</v>
      </c>
      <c r="C7" t="s">
        <v>457</v>
      </c>
    </row>
    <row r="8" spans="2:19">
      <c r="B8" t="s">
        <v>476</v>
      </c>
      <c r="C8" s="1086" t="s">
        <v>477</v>
      </c>
      <c r="D8" s="1086"/>
      <c r="E8" s="1086"/>
      <c r="F8" s="1086"/>
      <c r="G8" s="1086"/>
      <c r="H8" s="1086"/>
      <c r="I8" s="1086"/>
      <c r="J8" s="1086"/>
      <c r="K8" s="1086"/>
      <c r="L8" s="1086"/>
      <c r="M8" s="1086"/>
      <c r="N8" s="1086"/>
      <c r="O8" s="1086"/>
      <c r="P8" s="1086"/>
      <c r="Q8" s="1086"/>
      <c r="R8" s="1086"/>
      <c r="S8" s="1086"/>
    </row>
    <row r="9" spans="2:19">
      <c r="C9" s="1086"/>
      <c r="D9" s="1086"/>
      <c r="E9" s="1086"/>
      <c r="F9" s="1086"/>
      <c r="G9" s="1086"/>
      <c r="H9" s="1086"/>
      <c r="I9" s="1086"/>
      <c r="J9" s="1086"/>
      <c r="K9" s="1086"/>
      <c r="L9" s="1086"/>
      <c r="M9" s="1086"/>
      <c r="N9" s="1086"/>
      <c r="O9" s="1086"/>
      <c r="P9" s="1086"/>
      <c r="Q9" s="1086"/>
      <c r="R9" s="1086"/>
      <c r="S9" s="1086"/>
    </row>
    <row r="10" spans="2:19">
      <c r="B10" t="s">
        <v>478</v>
      </c>
      <c r="C10" t="s">
        <v>479</v>
      </c>
    </row>
  </sheetData>
  <mergeCells count="1">
    <mergeCell ref="C8:S9"/>
  </mergeCells>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P51"/>
  <sheetViews>
    <sheetView view="pageBreakPreview" zoomScale="95" zoomScaleNormal="100" zoomScaleSheetLayoutView="95" workbookViewId="0">
      <selection activeCell="G18" sqref="G18:I18"/>
    </sheetView>
  </sheetViews>
  <sheetFormatPr defaultRowHeight="15"/>
  <cols>
    <col min="2" max="2" width="12.42578125" customWidth="1"/>
    <col min="3" max="3" width="12" customWidth="1"/>
    <col min="4" max="4" width="12.28515625" customWidth="1"/>
    <col min="5" max="5" width="8.85546875" customWidth="1"/>
    <col min="6" max="6" width="5.85546875" customWidth="1"/>
    <col min="7" max="7" width="12.85546875" customWidth="1"/>
    <col min="8" max="8" width="13.28515625" customWidth="1"/>
    <col min="9" max="9" width="14.7109375" customWidth="1"/>
  </cols>
  <sheetData>
    <row r="2" spans="1:16">
      <c r="A2" s="769" t="s">
        <v>0</v>
      </c>
      <c r="B2" s="770"/>
      <c r="C2" s="770"/>
      <c r="D2" s="770"/>
      <c r="E2" s="771"/>
      <c r="F2" s="762" t="s">
        <v>1</v>
      </c>
      <c r="G2" s="762"/>
      <c r="H2" s="762"/>
      <c r="I2" s="763"/>
    </row>
    <row r="3" spans="1:16" ht="15" customHeight="1">
      <c r="A3" s="772"/>
      <c r="B3" s="773"/>
      <c r="C3" s="773"/>
      <c r="D3" s="773"/>
      <c r="E3" s="774"/>
      <c r="F3" s="767"/>
      <c r="G3" s="767"/>
      <c r="H3" s="767"/>
      <c r="I3" s="768"/>
    </row>
    <row r="4" spans="1:16">
      <c r="A4" s="761" t="s">
        <v>2</v>
      </c>
      <c r="B4" s="762"/>
      <c r="C4" s="763"/>
      <c r="D4" s="761" t="s">
        <v>3</v>
      </c>
      <c r="E4" s="762"/>
      <c r="F4" s="763"/>
      <c r="G4" s="762" t="s">
        <v>4</v>
      </c>
      <c r="H4" s="762"/>
      <c r="I4" s="763"/>
      <c r="J4" s="1"/>
    </row>
    <row r="5" spans="1:16">
      <c r="A5" s="782"/>
      <c r="B5" s="767"/>
      <c r="C5" s="768"/>
      <c r="D5" s="782"/>
      <c r="E5" s="767"/>
      <c r="F5" s="768"/>
      <c r="G5" s="767"/>
      <c r="H5" s="767"/>
      <c r="I5" s="768"/>
    </row>
    <row r="6" spans="1:16">
      <c r="A6" s="761" t="s">
        <v>5</v>
      </c>
      <c r="B6" s="762"/>
      <c r="C6" s="762"/>
      <c r="D6" s="762"/>
      <c r="E6" s="762"/>
      <c r="F6" s="762"/>
      <c r="G6" s="762"/>
      <c r="H6" s="762"/>
      <c r="I6" s="763"/>
    </row>
    <row r="7" spans="1:16" ht="15.75">
      <c r="A7" s="1103"/>
      <c r="B7" s="1104"/>
      <c r="C7" s="1104"/>
      <c r="D7" s="1104"/>
      <c r="E7" s="1104"/>
      <c r="F7" s="1104"/>
      <c r="G7" s="1104"/>
      <c r="H7" s="1104"/>
      <c r="I7" s="1105"/>
    </row>
    <row r="8" spans="1:16">
      <c r="A8" s="761" t="s">
        <v>6</v>
      </c>
      <c r="B8" s="762"/>
      <c r="C8" s="762"/>
      <c r="D8" s="762"/>
      <c r="E8" s="762"/>
      <c r="F8" s="762"/>
      <c r="G8" s="762"/>
      <c r="H8" s="762"/>
      <c r="I8" s="763"/>
    </row>
    <row r="9" spans="1:16" ht="15.75">
      <c r="A9" s="1103"/>
      <c r="B9" s="1104"/>
      <c r="C9" s="1104"/>
      <c r="D9" s="1104"/>
      <c r="E9" s="1104"/>
      <c r="F9" s="1104"/>
      <c r="G9" s="1104"/>
      <c r="H9" s="1104"/>
      <c r="I9" s="1105"/>
      <c r="K9" s="1107"/>
      <c r="L9" s="1107"/>
      <c r="M9" s="1107"/>
      <c r="N9" s="1107"/>
      <c r="O9" s="1107"/>
      <c r="P9" s="1107"/>
    </row>
    <row r="12" spans="1:16" ht="18.75">
      <c r="A12" s="779" t="s">
        <v>7</v>
      </c>
      <c r="B12" s="780"/>
      <c r="C12" s="780"/>
      <c r="D12" s="780"/>
      <c r="E12" s="780"/>
      <c r="F12" s="780"/>
      <c r="G12" s="780"/>
      <c r="H12" s="780"/>
      <c r="I12" s="781"/>
    </row>
    <row r="13" spans="1:16">
      <c r="A13" s="761" t="s">
        <v>8</v>
      </c>
      <c r="B13" s="762"/>
      <c r="C13" s="762"/>
      <c r="D13" s="762"/>
      <c r="E13" s="762"/>
      <c r="F13" s="763"/>
      <c r="G13" s="20" t="s">
        <v>36</v>
      </c>
      <c r="H13" s="18"/>
      <c r="I13" s="19"/>
    </row>
    <row r="14" spans="1:16">
      <c r="A14" s="782"/>
      <c r="B14" s="767"/>
      <c r="C14" s="767"/>
      <c r="D14" s="767"/>
      <c r="E14" s="767"/>
      <c r="F14" s="768"/>
      <c r="G14" s="782"/>
      <c r="H14" s="767"/>
      <c r="I14" s="768"/>
    </row>
    <row r="15" spans="1:16">
      <c r="A15" s="761" t="s">
        <v>9</v>
      </c>
      <c r="B15" s="763"/>
      <c r="C15" s="762" t="s">
        <v>10</v>
      </c>
      <c r="D15" s="762"/>
      <c r="E15" s="752" t="s">
        <v>11</v>
      </c>
      <c r="F15" s="753"/>
      <c r="G15" s="1106"/>
      <c r="H15" s="752" t="s">
        <v>18</v>
      </c>
      <c r="I15" s="1106"/>
    </row>
    <row r="16" spans="1:16">
      <c r="A16" s="782"/>
      <c r="B16" s="768"/>
      <c r="C16" s="788"/>
      <c r="D16" s="789"/>
      <c r="E16" s="783"/>
      <c r="F16" s="784"/>
      <c r="G16" s="785"/>
      <c r="H16" s="788"/>
      <c r="I16" s="789"/>
    </row>
    <row r="17" spans="1:9">
      <c r="A17" s="790" t="s">
        <v>12</v>
      </c>
      <c r="B17" s="786"/>
      <c r="C17" s="1087" t="s">
        <v>13</v>
      </c>
      <c r="D17" s="1088"/>
      <c r="E17" s="1088"/>
      <c r="F17" s="1089"/>
      <c r="G17" s="1088" t="s">
        <v>14</v>
      </c>
      <c r="H17" s="1088"/>
      <c r="I17" s="1089"/>
    </row>
    <row r="18" spans="1:9">
      <c r="A18" s="782"/>
      <c r="B18" s="767"/>
      <c r="C18" s="1090"/>
      <c r="D18" s="1091"/>
      <c r="E18" s="1091"/>
      <c r="F18" s="1092"/>
      <c r="G18" s="784"/>
      <c r="H18" s="784"/>
      <c r="I18" s="785"/>
    </row>
    <row r="19" spans="1:9">
      <c r="A19" s="790" t="s">
        <v>15</v>
      </c>
      <c r="B19" s="787"/>
      <c r="C19" s="786" t="s">
        <v>16</v>
      </c>
      <c r="D19" s="786"/>
      <c r="E19" s="1087" t="s">
        <v>17</v>
      </c>
      <c r="F19" s="1088"/>
      <c r="G19" s="1089"/>
      <c r="H19" s="1087" t="s">
        <v>43</v>
      </c>
      <c r="I19" s="1089"/>
    </row>
    <row r="20" spans="1:9">
      <c r="A20" s="783"/>
      <c r="B20" s="785"/>
      <c r="C20" s="783"/>
      <c r="D20" s="785"/>
      <c r="E20" s="788"/>
      <c r="F20" s="1093"/>
      <c r="G20" s="789"/>
      <c r="H20" s="788"/>
      <c r="I20" s="789"/>
    </row>
    <row r="21" spans="1:9">
      <c r="A21" s="790" t="s">
        <v>15</v>
      </c>
      <c r="B21" s="787"/>
      <c r="C21" s="786" t="s">
        <v>16</v>
      </c>
      <c r="D21" s="786"/>
      <c r="E21" s="1087" t="s">
        <v>17</v>
      </c>
      <c r="F21" s="1088"/>
      <c r="G21" s="1089"/>
      <c r="H21" s="1087" t="s">
        <v>43</v>
      </c>
      <c r="I21" s="1089"/>
    </row>
    <row r="22" spans="1:9">
      <c r="A22" s="783"/>
      <c r="B22" s="785"/>
      <c r="C22" s="783"/>
      <c r="D22" s="785"/>
      <c r="E22" s="788"/>
      <c r="F22" s="1093"/>
      <c r="G22" s="789"/>
      <c r="H22" s="788"/>
      <c r="I22" s="789"/>
    </row>
    <row r="25" spans="1:9" ht="18.75">
      <c r="A25" s="779" t="s">
        <v>19</v>
      </c>
      <c r="B25" s="780"/>
      <c r="C25" s="780"/>
      <c r="D25" s="780"/>
      <c r="E25" s="780"/>
      <c r="F25" s="780"/>
      <c r="G25" s="780"/>
      <c r="H25" s="780"/>
      <c r="I25" s="781"/>
    </row>
    <row r="26" spans="1:9">
      <c r="A26" s="1094" t="s">
        <v>20</v>
      </c>
      <c r="B26" s="1094"/>
      <c r="C26" s="1094"/>
      <c r="D26" s="1094"/>
      <c r="E26" s="1094"/>
      <c r="F26" s="1094"/>
      <c r="G26" s="1094"/>
      <c r="H26" s="17"/>
      <c r="I26" s="17"/>
    </row>
    <row r="27" spans="1:9">
      <c r="A27" s="1094" t="s">
        <v>20</v>
      </c>
      <c r="B27" s="1094"/>
      <c r="C27" s="1094"/>
      <c r="D27" s="1094"/>
      <c r="E27" s="1094"/>
      <c r="F27" s="1094"/>
      <c r="G27" s="1094"/>
      <c r="H27" s="17"/>
      <c r="I27" s="17"/>
    </row>
    <row r="28" spans="1:9">
      <c r="A28" s="1094" t="s">
        <v>20</v>
      </c>
      <c r="B28" s="1094"/>
      <c r="C28" s="1094"/>
      <c r="D28" s="1094"/>
      <c r="E28" s="1094"/>
      <c r="F28" s="1094"/>
      <c r="G28" s="1094"/>
      <c r="H28" s="17"/>
      <c r="I28" s="17"/>
    </row>
    <row r="29" spans="1:9">
      <c r="A29" s="1095" t="s">
        <v>21</v>
      </c>
      <c r="B29" s="1096"/>
      <c r="C29" s="5" t="s">
        <v>22</v>
      </c>
      <c r="D29" s="6"/>
      <c r="E29" s="4" t="s">
        <v>23</v>
      </c>
      <c r="F29" s="5" t="s">
        <v>24</v>
      </c>
      <c r="G29" s="7"/>
      <c r="H29" s="3" t="s">
        <v>25</v>
      </c>
      <c r="I29" s="7"/>
    </row>
    <row r="31" spans="1:9" ht="18.75">
      <c r="A31" s="779" t="s">
        <v>41</v>
      </c>
      <c r="B31" s="780"/>
      <c r="C31" s="780"/>
      <c r="D31" s="780"/>
      <c r="E31" s="780"/>
      <c r="F31" s="780"/>
      <c r="G31" s="780"/>
      <c r="H31" s="780"/>
      <c r="I31" s="781"/>
    </row>
    <row r="32" spans="1:9">
      <c r="A32" s="1097" t="s">
        <v>26</v>
      </c>
      <c r="B32" s="1099" t="s">
        <v>32</v>
      </c>
      <c r="C32" s="1099"/>
      <c r="D32" s="1100" t="s">
        <v>31</v>
      </c>
      <c r="E32" s="1101"/>
      <c r="F32" s="1102"/>
      <c r="G32" s="1099" t="s">
        <v>30</v>
      </c>
      <c r="H32" s="1099"/>
      <c r="I32" s="1099"/>
    </row>
    <row r="33" spans="1:9">
      <c r="A33" s="1098"/>
      <c r="B33" s="10" t="s">
        <v>37</v>
      </c>
      <c r="C33" s="10" t="s">
        <v>40</v>
      </c>
      <c r="D33" s="10" t="s">
        <v>38</v>
      </c>
      <c r="E33" s="11"/>
      <c r="F33" s="13"/>
      <c r="G33" s="16" t="s">
        <v>27</v>
      </c>
      <c r="H33" s="16" t="s">
        <v>28</v>
      </c>
      <c r="I33" s="16" t="s">
        <v>29</v>
      </c>
    </row>
    <row r="34" spans="1:9">
      <c r="A34" s="16">
        <v>1</v>
      </c>
      <c r="B34" s="21"/>
      <c r="C34" s="21"/>
      <c r="D34" s="17"/>
      <c r="E34" s="12"/>
      <c r="F34" s="13"/>
      <c r="G34" s="17"/>
      <c r="H34" s="17"/>
      <c r="I34" s="17"/>
    </row>
    <row r="35" spans="1:9">
      <c r="A35" s="16">
        <v>2</v>
      </c>
      <c r="B35" s="8"/>
      <c r="C35" s="8"/>
      <c r="D35" s="17"/>
      <c r="E35" s="12"/>
      <c r="F35" s="13"/>
      <c r="G35" s="17"/>
      <c r="H35" s="17"/>
      <c r="I35" s="17"/>
    </row>
    <row r="36" spans="1:9">
      <c r="A36" s="16">
        <v>3</v>
      </c>
      <c r="B36" s="8"/>
      <c r="C36" s="8"/>
      <c r="D36" s="17"/>
      <c r="E36" s="12"/>
      <c r="F36" s="13"/>
      <c r="G36" s="17"/>
      <c r="H36" s="17"/>
      <c r="I36" s="17"/>
    </row>
    <row r="38" spans="1:9" ht="18.75">
      <c r="A38" s="779" t="s">
        <v>39</v>
      </c>
      <c r="B38" s="780"/>
      <c r="C38" s="780"/>
      <c r="D38" s="780"/>
      <c r="E38" s="780"/>
      <c r="F38" s="780"/>
      <c r="G38" s="780"/>
      <c r="H38" s="780"/>
      <c r="I38" s="781"/>
    </row>
    <row r="39" spans="1:9">
      <c r="A39" s="1097" t="s">
        <v>26</v>
      </c>
      <c r="B39" s="1099" t="s">
        <v>32</v>
      </c>
      <c r="C39" s="1099"/>
      <c r="D39" s="1100" t="s">
        <v>31</v>
      </c>
      <c r="E39" s="1101"/>
      <c r="F39" s="1102"/>
      <c r="G39" s="1099" t="s">
        <v>30</v>
      </c>
      <c r="H39" s="1099"/>
      <c r="I39" s="1099"/>
    </row>
    <row r="40" spans="1:9">
      <c r="A40" s="1098"/>
      <c r="B40" s="10" t="s">
        <v>37</v>
      </c>
      <c r="C40" s="10" t="s">
        <v>42</v>
      </c>
      <c r="D40" s="10" t="s">
        <v>38</v>
      </c>
      <c r="E40" s="11"/>
      <c r="F40" s="13"/>
      <c r="G40" s="16" t="s">
        <v>27</v>
      </c>
      <c r="H40" s="16" t="s">
        <v>28</v>
      </c>
      <c r="I40" s="16" t="s">
        <v>29</v>
      </c>
    </row>
    <row r="41" spans="1:9">
      <c r="A41" s="16">
        <v>1</v>
      </c>
      <c r="B41" s="8"/>
      <c r="C41" s="8"/>
      <c r="D41" s="17"/>
      <c r="E41" s="12"/>
      <c r="F41" s="13"/>
      <c r="G41" s="17"/>
      <c r="H41" s="17"/>
      <c r="I41" s="17"/>
    </row>
    <row r="42" spans="1:9">
      <c r="A42" s="16">
        <v>2</v>
      </c>
      <c r="B42" s="8"/>
      <c r="C42" s="8"/>
      <c r="D42" s="17"/>
      <c r="E42" s="12"/>
      <c r="F42" s="13"/>
      <c r="G42" s="17"/>
      <c r="H42" s="17"/>
      <c r="I42" s="17"/>
    </row>
    <row r="43" spans="1:9">
      <c r="A43" s="16">
        <v>3</v>
      </c>
      <c r="B43" s="8"/>
      <c r="C43" s="8"/>
      <c r="D43" s="17"/>
      <c r="E43" s="14"/>
      <c r="F43" s="15"/>
      <c r="G43" s="17"/>
      <c r="H43" s="17"/>
      <c r="I43" s="17"/>
    </row>
    <row r="44" spans="1:9" hidden="1">
      <c r="A44" s="10">
        <v>6</v>
      </c>
      <c r="B44" s="9"/>
      <c r="C44" s="9"/>
      <c r="D44" s="9"/>
      <c r="E44" s="2"/>
      <c r="F44" s="2"/>
      <c r="G44" s="9"/>
      <c r="H44" s="9"/>
      <c r="I44" s="9"/>
    </row>
    <row r="46" spans="1:9">
      <c r="A46" s="816" t="s">
        <v>33</v>
      </c>
      <c r="B46" s="817"/>
      <c r="C46" s="817"/>
      <c r="D46" s="817"/>
      <c r="E46" s="817"/>
      <c r="F46" s="817"/>
      <c r="G46" s="817"/>
      <c r="H46" s="817"/>
      <c r="I46" s="818"/>
    </row>
    <row r="47" spans="1:9">
      <c r="A47" s="782"/>
      <c r="B47" s="767"/>
      <c r="C47" s="767"/>
      <c r="D47" s="767"/>
      <c r="E47" s="767"/>
      <c r="F47" s="767"/>
      <c r="G47" s="767"/>
      <c r="H47" s="767"/>
      <c r="I47" s="768"/>
    </row>
    <row r="48" spans="1:9">
      <c r="A48" s="782"/>
      <c r="B48" s="767"/>
      <c r="C48" s="767"/>
      <c r="D48" s="767"/>
      <c r="E48" s="767"/>
      <c r="F48" s="767"/>
      <c r="G48" s="767"/>
      <c r="H48" s="767"/>
      <c r="I48" s="768"/>
    </row>
    <row r="50" spans="1:8">
      <c r="A50" s="2"/>
      <c r="B50" s="2"/>
      <c r="C50" s="2"/>
      <c r="F50" s="2"/>
      <c r="G50" s="2"/>
      <c r="H50" s="2"/>
    </row>
    <row r="51" spans="1:8">
      <c r="A51" s="815" t="s">
        <v>34</v>
      </c>
      <c r="B51" s="815"/>
      <c r="C51" s="815"/>
      <c r="F51" s="815" t="s">
        <v>35</v>
      </c>
      <c r="G51" s="815"/>
      <c r="H51" s="815"/>
    </row>
  </sheetData>
  <mergeCells count="71">
    <mergeCell ref="A8:I8"/>
    <mergeCell ref="A2:E3"/>
    <mergeCell ref="F2:I2"/>
    <mergeCell ref="F3:I3"/>
    <mergeCell ref="A4:C4"/>
    <mergeCell ref="D4:F4"/>
    <mergeCell ref="G4:I4"/>
    <mergeCell ref="A5:C5"/>
    <mergeCell ref="D5:F5"/>
    <mergeCell ref="G5:I5"/>
    <mergeCell ref="A6:I6"/>
    <mergeCell ref="A7:I7"/>
    <mergeCell ref="K9:P9"/>
    <mergeCell ref="A12:I12"/>
    <mergeCell ref="A13:F13"/>
    <mergeCell ref="A14:F14"/>
    <mergeCell ref="G14:I14"/>
    <mergeCell ref="A15:B15"/>
    <mergeCell ref="C15:D15"/>
    <mergeCell ref="A16:B16"/>
    <mergeCell ref="C16:D16"/>
    <mergeCell ref="A9:I9"/>
    <mergeCell ref="E15:G15"/>
    <mergeCell ref="H15:I15"/>
    <mergeCell ref="E16:G16"/>
    <mergeCell ref="H16:I16"/>
    <mergeCell ref="A19:B19"/>
    <mergeCell ref="C19:D19"/>
    <mergeCell ref="A20:B20"/>
    <mergeCell ref="C20:D20"/>
    <mergeCell ref="A17:B17"/>
    <mergeCell ref="A18:B18"/>
    <mergeCell ref="A48:I48"/>
    <mergeCell ref="A51:C51"/>
    <mergeCell ref="F51:H51"/>
    <mergeCell ref="A38:I38"/>
    <mergeCell ref="A39:A40"/>
    <mergeCell ref="B39:C39"/>
    <mergeCell ref="D39:F39"/>
    <mergeCell ref="G39:I39"/>
    <mergeCell ref="A47:I47"/>
    <mergeCell ref="A29:B29"/>
    <mergeCell ref="A31:I31"/>
    <mergeCell ref="A32:A33"/>
    <mergeCell ref="B32:C32"/>
    <mergeCell ref="D32:F32"/>
    <mergeCell ref="G32:I32"/>
    <mergeCell ref="A21:B21"/>
    <mergeCell ref="C21:D21"/>
    <mergeCell ref="A22:B22"/>
    <mergeCell ref="C22:D22"/>
    <mergeCell ref="A46:I46"/>
    <mergeCell ref="A25:I25"/>
    <mergeCell ref="A26:B26"/>
    <mergeCell ref="C26:G26"/>
    <mergeCell ref="A27:B27"/>
    <mergeCell ref="C27:G27"/>
    <mergeCell ref="A28:B28"/>
    <mergeCell ref="C28:G28"/>
    <mergeCell ref="H22:I22"/>
    <mergeCell ref="E21:G21"/>
    <mergeCell ref="E22:G22"/>
    <mergeCell ref="H21:I21"/>
    <mergeCell ref="G18:I18"/>
    <mergeCell ref="C17:F17"/>
    <mergeCell ref="C18:F18"/>
    <mergeCell ref="H19:I19"/>
    <mergeCell ref="H20:I20"/>
    <mergeCell ref="G17:I17"/>
    <mergeCell ref="E19:G19"/>
    <mergeCell ref="E20:G20"/>
  </mergeCells>
  <pageMargins left="0.511811024" right="0.511811024" top="0.78740157499999996" bottom="0.78740157499999996" header="0.31496062000000002" footer="0.31496062000000002"/>
  <pageSetup paperSize="9" scale="91" orientation="portrait" r:id="rId1"/>
  <colBreaks count="1" manualBreakCount="1">
    <brk id="9"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F2E4B78-C696-4D84-9E8E-F268FF19AA7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12</vt:i4>
      </vt:variant>
      <vt:variant>
        <vt:lpstr>Intervalos Nomeados</vt:lpstr>
      </vt:variant>
      <vt:variant>
        <vt:i4>11</vt:i4>
      </vt:variant>
    </vt:vector>
  </HeadingPairs>
  <TitlesOfParts>
    <vt:vector size="23" baseType="lpstr">
      <vt:lpstr>Registro Original</vt:lpstr>
      <vt:lpstr>Registro Tratado</vt:lpstr>
      <vt:lpstr>Certificado</vt:lpstr>
      <vt:lpstr>Incerteza Lambda</vt:lpstr>
      <vt:lpstr>Incerteza Absorbância</vt:lpstr>
      <vt:lpstr>Cadastro - Padrões Lambda</vt:lpstr>
      <vt:lpstr>Cadastro - Padrões Absorbância</vt:lpstr>
      <vt:lpstr>CMC Lambda</vt:lpstr>
      <vt:lpstr>CMC Absorbância</vt:lpstr>
      <vt:lpstr>Notas &amp; Processo Tratamento</vt:lpstr>
      <vt:lpstr>Evolução da Planilha</vt:lpstr>
      <vt:lpstr>2 Grandesa</vt:lpstr>
      <vt:lpstr>'CMC Absorbância'!Absorbâncias_Nominais</vt:lpstr>
      <vt:lpstr>Absorbâncias_Nominais</vt:lpstr>
      <vt:lpstr>'2 Grandesa'!Area_de_impressao</vt:lpstr>
      <vt:lpstr>Certificado!Area_de_impressao</vt:lpstr>
      <vt:lpstr>'Registro Original'!Area_de_impressao</vt:lpstr>
      <vt:lpstr>'Registro Tratado'!Area_de_impressao</vt:lpstr>
      <vt:lpstr>'CMC Absorbância'!Larguras_de_Banda_Calibradas___A</vt:lpstr>
      <vt:lpstr>Larguras_de_Banda_Calibradas___A</vt:lpstr>
      <vt:lpstr>Larguras_de_Banda_Típicas</vt:lpstr>
      <vt:lpstr>Tipo_de_Detecção</vt:lpstr>
      <vt:lpstr>Tipo_de_Espectrofotômetro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certificados1</dc:creator>
  <cp:lastModifiedBy>Oswaldo</cp:lastModifiedBy>
  <cp:lastPrinted>2021-06-30T16:15:07Z</cp:lastPrinted>
  <dcterms:created xsi:type="dcterms:W3CDTF">2012-12-12T13:53:14Z</dcterms:created>
  <dcterms:modified xsi:type="dcterms:W3CDTF">2021-12-26T03:09:40Z</dcterms:modified>
</cp:coreProperties>
</file>