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1 a 90000" sheetId="2" r:id="rId5"/>
    <sheet name="Deriva" sheetId="3" state="hidden" r:id="rId6"/>
  </sheets>
  <definedNames>
    <definedName name="Z_5BBDDB64_7FD5_488B_A414_4C64AFAB351A_.wvu.PrintArea" localSheetId="1">'1 a 90000'!$B$1:$M$71</definedName>
    <definedName name="Z_5BBDDB64_7FD5_488B_A414_4C64AFAB351A_.wvu.PrintArea" localSheetId="0">'Registro'!$A$1:$L$59</definedName>
    <definedName name="Z_74131AF1_E17D_4600_B7A1_97528E886844_.wvu.PrintArea" localSheetId="1">'1 a 90000'!$B$1:$M$71</definedName>
    <definedName name="Z_74131AF1_E17D_4600_B7A1_97528E886844_.wvu.PrintArea" localSheetId="0">'Registro'!$A$1:$L$59</definedName>
    <definedName name="_xlnm.Print_Area" localSheetId="0">'Registro'!$A$1:$L$60</definedName>
    <definedName name="_xlnm.Print_Area" localSheetId="1">'1 a 90000'!$B$1:$L$75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<sst xmlns="http://schemas.openxmlformats.org/spreadsheetml/2006/main" uniqueCount="168">
  <si>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 xml:space="preserve">                                           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</si>
  <si>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</si>
  <si>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Calibração - Qualificação - Vendas - Engenharia - Automação - Manutenção</t>
  </si>
  <si>
    <t>Selo RBC</t>
  </si>
  <si>
    <t>LABOCAL - RBC</t>
  </si>
  <si>
    <t>Laboratório de Calibração Acreditado pela CGCRE do INMETRO de acordo com a ABNT ISO/IEC 17025:2005, sob o N. 316.</t>
  </si>
  <si>
    <t>DM-53 - REGISTRO DE MEDIÇÃO - Medidores de Frequência</t>
  </si>
  <si>
    <t xml:space="preserve">CT-R N º </t>
  </si>
  <si>
    <t>2020-00348 KG</t>
  </si>
  <si>
    <t>Nº DA OS :</t>
  </si>
  <si>
    <t>LOCAL - Informe: I (Interna) ou C (cliente):</t>
  </si>
  <si>
    <t>I</t>
  </si>
  <si>
    <t>Recebido:</t>
  </si>
  <si>
    <t>Calibrado:</t>
  </si>
  <si>
    <t>Emitido:</t>
  </si>
  <si>
    <t xml:space="preserve">CLIENTE: </t>
  </si>
  <si>
    <t>FILIAL:</t>
  </si>
  <si>
    <t>GUARULHOS-SP</t>
  </si>
  <si>
    <t>Revisão:</t>
  </si>
  <si>
    <t>ENDEREÇ:</t>
  </si>
  <si>
    <t>RUA PADRE JOÃO ÁLVARES, 436 - VILA RENATA</t>
  </si>
  <si>
    <t>CEP:</t>
  </si>
  <si>
    <t>07.056-000</t>
  </si>
  <si>
    <t>Solicitante:</t>
  </si>
  <si>
    <t>SERTIN COM. E SERV. TECNICOS DE INSTRUMENTAÇÃO LTDA - SERTIN - SP</t>
  </si>
  <si>
    <t>DADOS    TÉCNICOS   DO   INSTRUMENTO</t>
  </si>
  <si>
    <t xml:space="preserve">INSTRUMENTO: </t>
  </si>
  <si>
    <t>Tipo</t>
  </si>
  <si>
    <t>A-Analógic   D - Digital</t>
  </si>
  <si>
    <t>D</t>
  </si>
  <si>
    <t>TAG / IDENTIF</t>
  </si>
  <si>
    <t>LBC 258</t>
  </si>
  <si>
    <t>Unidade:</t>
  </si>
  <si>
    <r>
      <rPr>
        <rFont val="Arial"/>
        <b val="false"/>
        <i val="false"/>
        <strike val="false"/>
        <color rgb="FF000000"/>
        <sz val="10"/>
        <u val="none"/>
      </rP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</si>
  <si>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</si>
  <si>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</si>
  <si>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t>Divisão:</t>
  </si>
  <si>
    <t>LOCAL:</t>
  </si>
  <si>
    <t>Sub Local</t>
  </si>
  <si>
    <t>LABOCAL II</t>
  </si>
  <si>
    <t>PROCEDIM:</t>
  </si>
  <si>
    <t>PADRÕES   UTILIZADOS   NA   CALIBRAÇÃO</t>
  </si>
  <si>
    <t>PADRÃO</t>
  </si>
  <si>
    <t>DESCRIÇÃO</t>
  </si>
  <si>
    <t>DIVISÃO</t>
  </si>
  <si>
    <t>UNIDADE</t>
  </si>
  <si>
    <t>CALIBRADO POR:</t>
  </si>
  <si>
    <t>CERTIFICADO</t>
  </si>
  <si>
    <t>Próx. Cal.</t>
  </si>
  <si>
    <t>Incerteza</t>
  </si>
  <si>
    <t>LBC-</t>
  </si>
  <si>
    <t>Multicalibrador Digital</t>
  </si>
  <si>
    <t>RPM</t>
  </si>
  <si>
    <t>CONDIÇÕES AMBIENTE</t>
  </si>
  <si>
    <t>Início</t>
  </si>
  <si>
    <t>TEMPERATURA:</t>
  </si>
  <si>
    <t>ºC</t>
  </si>
  <si>
    <t>UMIDADE RELATIVA:</t>
  </si>
  <si>
    <t>%</t>
  </si>
  <si>
    <t>Fim</t>
  </si>
  <si>
    <t>C A L I B R A Ç Ã O  - VALORES LIDO NO PADRÃO</t>
  </si>
  <si>
    <t>LEITURA 1</t>
  </si>
  <si>
    <t>LEITURA 2</t>
  </si>
  <si>
    <t>LEITURA 3</t>
  </si>
  <si>
    <t>PONTO</t>
  </si>
  <si>
    <t>VALORES</t>
  </si>
  <si>
    <t>Objeto</t>
  </si>
  <si>
    <t>Padrão</t>
  </si>
  <si>
    <t xml:space="preserve">Nº </t>
  </si>
  <si>
    <t>Procedimento</t>
  </si>
  <si>
    <t>Verificação do padrão</t>
  </si>
  <si>
    <t>O  instrumento  em  teste  foi  calibrado  em  referência  a(os)  padrão(ões)  acima descritos e de acordo com a última  revisão  da</t>
  </si>
  <si>
    <t xml:space="preserve">Antes </t>
  </si>
  <si>
    <t>Depois</t>
  </si>
  <si>
    <t>O instrumento e o padrão permaneceram ligados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</si>
  <si>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</si>
  <si>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 xml:space="preserve">A incerteza expandida de medição relatada é declarada como a incerteza padrão da medição multiplicada pelo fator de abrangência  k=2, que para uma distribuição </t>
  </si>
  <si>
    <t>A Calibração foi realizada utilizando-se o método comparativo. O Ajuste não faz parte do escopo acreditado.</t>
  </si>
  <si>
    <t>normal corresponde a uma probabilidade de abrangência de aproximadamente 95%. A incerteza padrão de medição foi determinada de acordo com a publicação EA-4/02.</t>
  </si>
  <si>
    <t>Os valores dos pontos a serem calibrados, quando não forem informados pelo cliente, serão feitos de acordo com nossas IT´s.</t>
  </si>
  <si>
    <t>A calibração foi toda realizada com o instrumento na sua posição de utilização e nas condições ambiente conforme especificado acima.</t>
  </si>
  <si>
    <t>OBSERVAÇÕES:</t>
  </si>
  <si>
    <t>Executante (nome):</t>
  </si>
  <si>
    <t>KAIQUE GUEDES</t>
  </si>
  <si>
    <t>Assinat:</t>
  </si>
  <si>
    <t>DM-53-R6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</si>
  <si>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FF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2"/>
        <u val="single"/>
      </rPr>
      <t xml:space="preserve">COM. E SERV. TÉCNICOS DE INSTRUMENTAÇÃO LTDA</t>
    </r>
  </si>
  <si>
    <t>CENTRIFUGA</t>
  </si>
  <si>
    <t>TACOMETRO</t>
  </si>
  <si>
    <t>Laboratório de Calibração acreditado pela CGCRE/Inmetro de acordo com ABNT NBR/ISO/IEC 17025, sob o nº 316</t>
  </si>
  <si>
    <t>Laboratório de Calibração Acreditado pela CGCRE do INMETRO de acordo com a ABNT NBR ISO/IEC 17025:2005, sob o N. 316.</t>
  </si>
  <si>
    <t>REV</t>
  </si>
  <si>
    <t xml:space="preserve"> CERTIFICADO DE CALIBRAÇÃO </t>
  </si>
  <si>
    <t xml:space="preserve">N º </t>
  </si>
  <si>
    <t>Local da Calibração:</t>
  </si>
  <si>
    <t>ENDEREÇO:</t>
  </si>
  <si>
    <t>OBJETO:</t>
  </si>
  <si>
    <t>TIPO:</t>
  </si>
  <si>
    <t>TAG / IDENTIF:</t>
  </si>
  <si>
    <t>LABOR / CERTIFICADO</t>
  </si>
  <si>
    <t>Próx Cal.</t>
  </si>
  <si>
    <t>DIVISÃO (RPM)</t>
  </si>
  <si>
    <t>INCERTEZA (RPM)</t>
  </si>
  <si>
    <t>Inicio</t>
  </si>
  <si>
    <t>± 1,0 ºC</t>
  </si>
  <si>
    <t>Fonte da Incerteza</t>
  </si>
  <si>
    <t>Valor</t>
  </si>
  <si>
    <t>DIV.</t>
  </si>
  <si>
    <t>Ci</t>
  </si>
  <si>
    <t xml:space="preserve">Ui 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</si>
  <si>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P1</t>
    </r>
  </si>
  <si>
    <t>Calibraç Padrão</t>
  </si>
  <si>
    <t xml:space="preserve">CALIBRAÇÃO - RESULTADOS FINAIS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</si>
  <si>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P2</t>
    </r>
  </si>
  <si>
    <t>V resoluç padrão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</si>
  <si>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P4</t>
    </r>
  </si>
  <si>
    <t>V deriva</t>
  </si>
  <si>
    <t>SI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</si>
  <si>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ti1</t>
    </r>
  </si>
  <si>
    <t>V resoluç instrum</t>
  </si>
  <si>
    <t>VS</t>
  </si>
  <si>
    <t>VC</t>
  </si>
  <si>
    <t>VI</t>
  </si>
  <si>
    <t>Erro</t>
  </si>
  <si>
    <t>INCERTEZA</t>
  </si>
  <si>
    <t>Objeto (RPM)</t>
  </si>
  <si>
    <t>Padrão (RPM)</t>
  </si>
  <si>
    <t>Leitura 1</t>
  </si>
  <si>
    <t>Leitura 2</t>
  </si>
  <si>
    <t>Leitura 3</t>
  </si>
  <si>
    <t>Média</t>
  </si>
  <si>
    <t>V repetiv</t>
  </si>
  <si>
    <t xml:space="preserve">Objeto (ti) </t>
  </si>
  <si>
    <t>Padrão (tp)</t>
  </si>
  <si>
    <t>Up</t>
  </si>
  <si>
    <t>Veff</t>
  </si>
  <si>
    <t>Uc</t>
  </si>
  <si>
    <t>U (RPM)</t>
  </si>
  <si>
    <t>SIG-ON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</si>
  <si>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</si>
  <si>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</si>
  <si>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</si>
  <si>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</si>
  <si>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</si>
  <si>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</si>
  <si>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</si>
  <si>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</si>
  <si>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</si>
  <si>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</si>
  <si>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</si>
  <si>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n</t>
  </si>
  <si>
    <t>K</t>
  </si>
  <si>
    <t>PROCEDIMENTO</t>
  </si>
  <si>
    <t>O  instrumento em teste foi calibrado em referência a(os) padrão(ões) acima descritos e de acordo com a última  revisão  da</t>
  </si>
  <si>
    <r>
      <rPr>
        <rFont val="Arial"/>
        <b val="true"/>
        <i val="false"/>
        <strike val="false"/>
        <color rgb="FF000000"/>
        <sz val="8.5"/>
        <u val="none"/>
      </rPr>
      <t xml:space="preserve">VS</t>
    </r>
    <r>
      <rPr>
        <rFont val="Arial"/>
        <b val="false"/>
        <i val="false"/>
        <strike val="false"/>
        <color rgb="FF000000"/>
        <sz val="8.5"/>
        <u val="none"/>
      </rPr>
      <t xml:space="preserve"> = pontos aprovados pelo cliente via orçamento, os quais não sendo possivel obter o valor exato, serão executados os valores mais próximos.</t>
    </r>
  </si>
  <si>
    <r>
      <rPr>
        <rFont val="Arial"/>
        <b val="true"/>
        <i val="false"/>
        <strike val="false"/>
        <color rgb="FF000000"/>
        <sz val="8.5"/>
        <u val="none"/>
      </rPr>
      <t xml:space="preserve">VI</t>
    </r>
    <r>
      <rPr>
        <rFont val="Arial"/>
        <b val="false"/>
        <i val="false"/>
        <strike val="false"/>
        <color rgb="FF000000"/>
        <sz val="8.5"/>
        <u val="none"/>
      </rPr>
      <t xml:space="preserve"> = Média das leituras indicadas no instrumento em calibração. </t>
    </r>
    <r>
      <rPr>
        <rFont val="Arial"/>
        <b val="true"/>
        <i val="false"/>
        <strike val="false"/>
        <color rgb="FF000000"/>
        <sz val="8.5"/>
        <u val="none"/>
      </rPr>
      <t xml:space="preserve">VC</t>
    </r>
    <r>
      <rPr>
        <rFont val="Arial"/>
        <b val="false"/>
        <i val="false"/>
        <strike val="false"/>
        <color rgb="FF000000"/>
        <sz val="8.5"/>
        <u val="none"/>
      </rPr>
      <t xml:space="preserve"> = Valor Convencional = Média das leituras indicadas no padrão de referência.</t>
    </r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</si>
  <si>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</si>
  <si>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</si>
  <si>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</si>
  <si>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</si>
  <si>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</si>
  <si>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</si>
  <si>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Douglas M. Fernandes</t>
  </si>
  <si>
    <t>Rua Padre João Álvares, 436   - CEP: 07056-000  -  Vila Renata  -  Guarulhos  -  SP  -  Brasil</t>
  </si>
  <si>
    <r>
      <rPr>
        <rFont val="Arial"/>
        <b val="false"/>
        <i val="false"/>
        <strike val="false"/>
        <color rgb="FF000000"/>
        <sz val="10"/>
        <u val="none"/>
      </rPr>
      <t xml:space="preserve">PABX: 11-2485-5460 / 2452-5214 - e-mail: sertin@sertin.com.br  - </t>
    </r>
    <r>
      <rPr>
        <rFont val="Arial"/>
        <b val="false"/>
        <i val="false"/>
        <strike val="false"/>
        <color rgb="FF000080"/>
        <sz val="10"/>
        <u val="single"/>
      </rPr>
      <t xml:space="preserve">www.sertin.com.br</t>
    </r>
  </si>
  <si>
    <t>LBC-043</t>
  </si>
  <si>
    <t>Desv ABS</t>
  </si>
  <si>
    <t>Deriva</t>
  </si>
</sst>
</file>

<file path=xl/styles.xml><?xml version="1.0" encoding="utf-8"?>
<styleSheet xmlns="http://schemas.openxmlformats.org/spreadsheetml/2006/main" xml:space="preserve">
  <numFmts count="9">
    <numFmt numFmtId="164" formatCode="dd/mm/yy;@"/>
    <numFmt numFmtId="165" formatCode="0.0"/>
    <numFmt numFmtId="166" formatCode="mmm\-yy"/>
    <numFmt numFmtId="167" formatCode="0.0000"/>
    <numFmt numFmtId="168" formatCode="0.000"/>
    <numFmt numFmtId="169" formatCode="0.0;[Red]0.0"/>
    <numFmt numFmtId="170" formatCode="[$-416]mmm\-yy;@"/>
    <numFmt numFmtId="171" formatCode="0.00000"/>
    <numFmt numFmtId="172" formatCode="0.000000"/>
  </numFmts>
  <fonts count="6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Symbo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1"/>
      <color rgb="FF00FF00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22"/>
      <color rgb="FF00FF00"/>
      <name val="Arial"/>
    </font>
    <font>
      <b val="0"/>
      <i val="0"/>
      <strike val="0"/>
      <u val="none"/>
      <sz val="11"/>
      <color rgb="FF0000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3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1"/>
      <i val="1"/>
      <strike val="0"/>
      <u val="none"/>
      <sz val="16"/>
      <color rgb="FF00FF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none"/>
      <sz val="14"/>
      <color rgb="FF00FF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0"/>
      <color rgb="FF0000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FF00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00FF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26"/>
      <color rgb="FFFF0000"/>
      <name val="Monotype Corsiva"/>
    </font>
    <font>
      <b val="1"/>
      <i val="0"/>
      <strike val="0"/>
      <u val="none"/>
      <sz val="18"/>
      <color rgb="FF000000"/>
      <name val="Monotype Corsiva"/>
    </font>
    <font>
      <b val="1"/>
      <i val="0"/>
      <strike val="0"/>
      <u val="none"/>
      <sz val="20"/>
      <color rgb="FF00FF00"/>
      <name val="Monotype Corsiva"/>
    </font>
    <font>
      <b val="0"/>
      <i val="1"/>
      <strike val="0"/>
      <u val="none"/>
      <sz val="10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8.5"/>
      <color rgb="FF000000"/>
      <name val="Arial"/>
    </font>
    <font>
      <b val="1"/>
      <i val="0"/>
      <strike val="0"/>
      <u val="none"/>
      <sz val="14"/>
      <color rgb="FF0000FF"/>
      <name val="Arial"/>
    </font>
    <font>
      <b val="0"/>
      <i val="0"/>
      <strike val="0"/>
      <u val="none"/>
      <sz val="14"/>
      <color rgb="FFFF0000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20"/>
      <color rgb="FF00FF00"/>
      <name val="Times New Roman"/>
    </font>
    <font>
      <b val="1"/>
      <i val="0"/>
      <strike val="0"/>
      <u val="none"/>
      <sz val="18"/>
      <color rgb="FFFFFFFF"/>
      <name val="Times New Roman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26"/>
      <color rgb="FF00FF00"/>
      <name val="Monotype Corsiva"/>
    </font>
    <font>
      <b val="0"/>
      <i val="0"/>
      <strike val="0"/>
      <u val="none"/>
      <sz val="10"/>
      <color rgb="FFFFFFFF"/>
      <name val="Times New Roman"/>
    </font>
    <font>
      <b val="1"/>
      <i val="0"/>
      <strike val="0"/>
      <u val="none"/>
      <sz val="10"/>
      <color rgb="FF0000FF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none"/>
      <sz val="9"/>
      <color rgb="FFFFFFFF"/>
      <name val="Arial"/>
    </font>
    <font>
      <b val="1"/>
      <i val="0"/>
      <strike val="0"/>
      <u val="none"/>
      <sz val="7"/>
      <color rgb="FF000000"/>
      <name val="Arial"/>
    </font>
    <font>
      <b val="1"/>
      <i val="0"/>
      <strike val="0"/>
      <u val="none"/>
      <sz val="17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3"/>
      <color rgb="FFFFFFFF"/>
      <name val="Arial"/>
    </font>
    <font>
      <b val="0"/>
      <i val="0"/>
      <strike val="0"/>
      <u val="none"/>
      <sz val="17"/>
      <color rgb="FF000000"/>
      <name val="Arial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0"/>
      <i val="0"/>
      <strike val="0"/>
      <u val="none"/>
      <sz val="11"/>
      <color rgb="FFFFFFFF"/>
      <name val="Times New Roman"/>
    </font>
    <font>
      <b val="1"/>
      <i val="0"/>
      <strike val="0"/>
      <u val="none"/>
      <sz val="20"/>
      <color rgb="FF000000"/>
      <name val="Monotype Corsiva"/>
    </font>
    <font>
      <b val="1"/>
      <i val="0"/>
      <strike val="0"/>
      <u val="none"/>
      <sz val="13"/>
      <color rgb="FF000000"/>
      <name val="Monotype Corsiva"/>
    </font>
    <font>
      <b val="1"/>
      <i val="0"/>
      <strike val="0"/>
      <u val="none"/>
      <sz val="14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rgb="FFFFFFFF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1" numFmtId="0" fillId="2" borderId="2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2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14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7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7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9" fillId="2" borderId="1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4" numFmtId="0" fillId="2" borderId="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6" numFmtId="1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2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5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2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5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5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5" numFmtId="1" fillId="4" borderId="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8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49" fillId="3" borderId="27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14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5" fillId="3" borderId="18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0" fillId="3" borderId="18" applyFont="0" applyNumberFormat="0" applyFill="1" applyBorder="1" applyAlignment="1" applyProtection="true">
      <alignment horizontal="righ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7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7" numFmtId="165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8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68" fillId="2" borderId="1" applyFont="1" applyNumberFormat="1" applyFill="0" applyBorder="1" applyAlignment="0" applyProtection="true">
      <alignment horizontal="general" vertical="bottom" textRotation="0" wrapText="false" shrinkToFit="false"/>
      <protection hidden="true"/>
    </xf>
    <xf xfId="0" fontId="20" numFmtId="165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7" numFmtId="169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17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 hidden="true"/>
    </xf>
    <xf xfId="0" fontId="14" numFmtId="0" fillId="2" borderId="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0" fillId="2" borderId="27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8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2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3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2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2" borderId="0" applyFont="0" applyNumberFormat="1" applyFill="0" applyBorder="0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49" fillId="5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49" numFmtId="0" fillId="6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9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17" numFmtId="165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0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51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1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3" fillId="3" borderId="31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6" numFmtId="0" fillId="2" borderId="1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1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3" borderId="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7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49" fillId="7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7" borderId="1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4" numFmtId="167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38" numFmtId="171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7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1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15" numFmtId="0" fillId="2" borderId="36" applyFont="1" applyNumberFormat="0" applyFill="0" applyBorder="1" applyAlignment="1" applyProtection="true">
      <alignment horizontal="general" vertical="bottom" textRotation="0" wrapText="true" shrinkToFit="false"/>
      <protection hidden="true"/>
    </xf>
    <xf xfId="0" fontId="0" numFmtId="0" fillId="2" borderId="37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top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8" fillId="7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8" fillId="7" borderId="3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8" borderId="1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23" numFmtId="4" fillId="6" borderId="1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3" borderId="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25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6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3" borderId="4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5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27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3" borderId="4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6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29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3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3" borderId="8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5" numFmtId="0" fillId="3" borderId="3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justify" vertical="center" textRotation="0" wrapText="false" shrinkToFit="false"/>
      <protection hidden="true"/>
    </xf>
    <xf xfId="0" fontId="25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6" numFmtId="0" fillId="3" borderId="1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6" numFmtId="0" fillId="3" borderId="4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5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3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6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6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1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0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7" borderId="31" applyFont="0" applyNumberFormat="1" applyFill="1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23.jpe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47625</xdr:rowOff>
    </xdr:from>
    <xdr:ext cx="1247775" cy="5619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161925</xdr:rowOff>
    </xdr:from>
    <xdr:ext cx="981075" cy="77152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1381125</xdr:colOff>
      <xdr:row>0</xdr:row>
      <xdr:rowOff>85725</xdr:rowOff>
    </xdr:from>
    <xdr:ext cx="723900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1362075</xdr:colOff>
      <xdr:row>2</xdr:row>
      <xdr:rowOff>85725</xdr:rowOff>
    </xdr:from>
    <xdr:ext cx="723900" cy="1200150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60"/>
  <sheetViews>
    <sheetView tabSelected="1" workbookViewId="0" zoomScale="115" zoomScaleNormal="75" view="pageBreakPreview" showGridLines="false" showRowColHeaders="1">
      <selection activeCell="B32" sqref="B32"/>
    </sheetView>
  </sheetViews>
  <sheetFormatPr customHeight="true" defaultRowHeight="12.75" outlineLevelRow="0" outlineLevelCol="0"/>
  <cols>
    <col min="1" max="1" width="11" customWidth="true" style="4"/>
    <col min="2" max="2" width="10.140625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11.5703125" customWidth="true" style="4"/>
    <col min="8" max="8" width="11.5703125" customWidth="true" style="4"/>
    <col min="9" max="9" width="12.140625" customWidth="true" style="4"/>
    <col min="10" max="10" width="11.5703125" customWidth="true" style="4"/>
    <col min="11" max="11" width="11.5703125" customWidth="true" style="4"/>
    <col min="12" max="12" width="11.5703125" customWidth="true" style="4"/>
    <col min="13" max="13" width="8.5703125" customWidth="true" style="4"/>
    <col min="14" max="14" width="4.42578125" customWidth="true" style="4"/>
    <col min="15" max="15" width="4.140625" customWidth="true" style="4"/>
    <col min="16" max="16" width="8.5703125" customWidth="true" style="4"/>
    <col min="17" max="17" width="11.5703125" customWidth="true" style="10"/>
    <col min="18" max="18" width="3.7109375" customWidth="true" style="4"/>
    <col min="19" max="19" width="11.5703125" customWidth="true" style="4"/>
    <col min="20" max="20" width="9.140625" customWidth="true" style="4"/>
    <col min="21" max="21" width="4" customWidth="true" style="4"/>
    <col min="22" max="22" width="11.5703125" customWidth="true" style="4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</cols>
  <sheetData>
    <row r="1" spans="1:28" customHeight="1" ht="25.5" s="2" customFormat="1">
      <c r="A1" s="368" t="s">
        <v>0</v>
      </c>
      <c r="B1" s="368"/>
      <c r="D1" s="3" t="s">
        <v>1</v>
      </c>
      <c r="E1" s="4"/>
      <c r="F1" s="4"/>
      <c r="G1" s="4"/>
      <c r="H1" s="4"/>
      <c r="I1" s="4"/>
      <c r="J1" s="4"/>
      <c r="K1" s="4"/>
      <c r="Q1" s="5"/>
    </row>
    <row r="2" spans="1:28" customHeight="1" ht="16.5" s="2" customFormat="1">
      <c r="A2" s="368"/>
      <c r="B2" s="368"/>
      <c r="C2" s="6"/>
      <c r="D2" s="369" t="s">
        <v>2</v>
      </c>
      <c r="E2" s="369"/>
      <c r="F2" s="369"/>
      <c r="G2" s="369"/>
      <c r="H2" s="369"/>
      <c r="I2" s="369"/>
      <c r="J2" s="369"/>
      <c r="K2" s="369"/>
      <c r="L2" s="374" t="s">
        <v>3</v>
      </c>
      <c r="M2" s="7"/>
      <c r="N2" s="7"/>
      <c r="O2" s="7"/>
      <c r="Q2" s="5"/>
    </row>
    <row r="3" spans="1:28" customHeight="1" ht="6">
      <c r="A3" s="8"/>
      <c r="B3" s="8"/>
      <c r="C3" s="6"/>
      <c r="D3" s="9"/>
      <c r="E3" s="9"/>
      <c r="F3" s="9"/>
      <c r="G3" s="9"/>
      <c r="H3" s="9"/>
      <c r="I3" s="9"/>
      <c r="J3" s="9"/>
      <c r="K3" s="9"/>
      <c r="L3" s="374"/>
      <c r="M3" s="7"/>
      <c r="N3" s="7"/>
      <c r="O3" s="7"/>
    </row>
    <row r="4" spans="1:28" customHeight="1" ht="16.5">
      <c r="A4" s="239"/>
      <c r="B4" s="239"/>
      <c r="C4" s="192"/>
      <c r="D4" s="240"/>
      <c r="E4" s="240"/>
      <c r="F4" s="380" t="s">
        <v>4</v>
      </c>
      <c r="G4" s="380"/>
      <c r="H4" s="240"/>
      <c r="I4" s="240"/>
      <c r="J4" s="240"/>
      <c r="K4" s="240"/>
      <c r="L4" s="374"/>
      <c r="M4" s="7"/>
      <c r="N4" s="7"/>
      <c r="O4" s="7"/>
    </row>
    <row r="5" spans="1:28" customHeight="1" ht="3">
      <c r="A5" s="239"/>
      <c r="B5" s="239"/>
      <c r="C5" s="192"/>
      <c r="D5" s="240"/>
      <c r="E5" s="240"/>
      <c r="F5" s="241"/>
      <c r="G5" s="241"/>
      <c r="H5" s="240"/>
      <c r="I5" s="240"/>
      <c r="J5" s="240"/>
      <c r="K5" s="240"/>
      <c r="L5" s="374"/>
      <c r="M5" s="7"/>
      <c r="N5" s="7"/>
      <c r="O5" s="7"/>
    </row>
    <row r="6" spans="1:28" customHeight="1" ht="15">
      <c r="A6" s="377" t="s">
        <v>5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4"/>
      <c r="M6" s="7"/>
      <c r="N6" s="7"/>
      <c r="O6" s="7"/>
    </row>
    <row r="7" spans="1:28" customHeight="1" ht="6.75">
      <c r="K7" s="11"/>
      <c r="L7" s="12"/>
      <c r="M7" s="12"/>
      <c r="N7" s="12"/>
      <c r="O7" s="7"/>
    </row>
    <row r="8" spans="1:28" customHeight="1" ht="21">
      <c r="A8" s="375" t="s">
        <v>6</v>
      </c>
      <c r="B8" s="375"/>
      <c r="C8" s="375"/>
      <c r="D8" s="375"/>
      <c r="E8" s="375"/>
      <c r="F8" s="375"/>
      <c r="G8" s="375"/>
      <c r="H8" s="375"/>
      <c r="I8" s="375"/>
      <c r="J8" s="13" t="s">
        <v>7</v>
      </c>
      <c r="K8" s="376" t="s">
        <v>8</v>
      </c>
      <c r="L8" s="376"/>
      <c r="M8" s="14"/>
      <c r="N8" s="14"/>
      <c r="O8" s="7"/>
    </row>
    <row r="9" spans="1:28" customHeight="1" ht="6">
      <c r="A9" s="8"/>
      <c r="B9" s="15"/>
      <c r="C9" s="15"/>
      <c r="D9" s="16"/>
      <c r="E9" s="16"/>
      <c r="F9" s="16"/>
      <c r="G9" s="16"/>
      <c r="H9" s="15"/>
      <c r="I9" s="17"/>
      <c r="J9" s="18"/>
      <c r="K9" s="18"/>
      <c r="L9" s="12"/>
      <c r="M9" s="12"/>
      <c r="N9" s="12"/>
      <c r="O9" s="12"/>
    </row>
    <row r="10" spans="1:28" customHeight="1" ht="23.25" s="4" customFormat="1">
      <c r="A10" s="19" t="s">
        <v>9</v>
      </c>
      <c r="B10" s="102"/>
      <c r="C10" s="349" t="s">
        <v>10</v>
      </c>
      <c r="D10" s="350"/>
      <c r="E10" s="350"/>
      <c r="F10" s="350"/>
      <c r="G10" s="350"/>
      <c r="H10" s="103" t="s">
        <v>11</v>
      </c>
      <c r="I10" s="173" t="s">
        <v>12</v>
      </c>
      <c r="J10" s="104"/>
      <c r="K10" s="20" t="s">
        <v>13</v>
      </c>
      <c r="L10" s="105"/>
      <c r="M10" s="21"/>
      <c r="N10" s="21"/>
      <c r="O10" s="22"/>
      <c r="P10" s="23" t="s">
        <v>14</v>
      </c>
      <c r="Q10" s="107">
        <v>44162</v>
      </c>
    </row>
    <row r="11" spans="1:28" customHeight="1" ht="23.25" s="4" customFormat="1">
      <c r="A11" s="24" t="s">
        <v>15</v>
      </c>
      <c r="B11" s="372"/>
      <c r="C11" s="372"/>
      <c r="D11" s="372"/>
      <c r="E11" s="372"/>
      <c r="F11" s="372"/>
      <c r="G11" s="372"/>
      <c r="H11" s="372"/>
      <c r="I11" s="373"/>
      <c r="J11" s="25" t="s">
        <v>16</v>
      </c>
      <c r="K11" s="334" t="s">
        <v>17</v>
      </c>
      <c r="L11" s="351"/>
      <c r="M11" s="26"/>
      <c r="N11" s="26"/>
      <c r="O11" s="26"/>
      <c r="P11" s="23" t="s">
        <v>18</v>
      </c>
      <c r="Q11" s="106">
        <v>0</v>
      </c>
    </row>
    <row r="12" spans="1:28" customHeight="1" ht="23.25" s="4" customFormat="1">
      <c r="A12" s="27" t="s">
        <v>19</v>
      </c>
      <c r="B12" s="334" t="s">
        <v>20</v>
      </c>
      <c r="C12" s="334"/>
      <c r="D12" s="334"/>
      <c r="E12" s="334"/>
      <c r="F12" s="334"/>
      <c r="G12" s="334"/>
      <c r="H12" s="334"/>
      <c r="I12" s="335"/>
      <c r="J12" s="25" t="s">
        <v>21</v>
      </c>
      <c r="K12" s="334" t="s">
        <v>22</v>
      </c>
      <c r="L12" s="351"/>
      <c r="M12" s="26"/>
      <c r="N12" s="26"/>
      <c r="O12" s="26"/>
      <c r="Q12" s="10"/>
    </row>
    <row r="13" spans="1:28" customHeight="1" ht="23.25" s="4" customFormat="1">
      <c r="A13" s="28" t="s">
        <v>23</v>
      </c>
      <c r="B13" s="378" t="s">
        <v>24</v>
      </c>
      <c r="C13" s="378"/>
      <c r="D13" s="378"/>
      <c r="E13" s="378"/>
      <c r="F13" s="378"/>
      <c r="G13" s="378"/>
      <c r="H13" s="378"/>
      <c r="I13" s="379"/>
      <c r="J13" s="29" t="s">
        <v>16</v>
      </c>
      <c r="K13" s="334" t="s">
        <v>17</v>
      </c>
      <c r="L13" s="351"/>
      <c r="M13" s="26"/>
      <c r="N13" s="26"/>
      <c r="O13" s="26"/>
      <c r="Q13" s="10"/>
    </row>
    <row r="14" spans="1:28" customHeight="1" ht="23.25" s="4" customFormat="1">
      <c r="A14" s="30" t="s">
        <v>19</v>
      </c>
      <c r="B14" s="336" t="s">
        <v>20</v>
      </c>
      <c r="C14" s="336"/>
      <c r="D14" s="336"/>
      <c r="E14" s="336"/>
      <c r="F14" s="336"/>
      <c r="G14" s="336"/>
      <c r="H14" s="336"/>
      <c r="I14" s="352"/>
      <c r="J14" s="31" t="s">
        <v>21</v>
      </c>
      <c r="K14" s="336" t="s">
        <v>22</v>
      </c>
      <c r="L14" s="337"/>
      <c r="M14" s="26"/>
      <c r="N14" s="26"/>
      <c r="O14" s="26"/>
      <c r="Q14" s="10"/>
    </row>
    <row r="15" spans="1:28" customHeight="1" ht="6" s="4" customFormat="1">
      <c r="A15" s="32"/>
      <c r="B15" s="33"/>
      <c r="C15" s="34"/>
      <c r="D15" s="34"/>
      <c r="E15" s="35"/>
      <c r="F15" s="35"/>
      <c r="G15" s="35"/>
      <c r="H15" s="35"/>
      <c r="I15" s="35"/>
      <c r="J15" s="36"/>
      <c r="K15" s="37"/>
      <c r="L15" s="37"/>
      <c r="M15" s="37"/>
      <c r="N15" s="37"/>
      <c r="O15" s="37"/>
      <c r="Q15" s="10"/>
    </row>
    <row r="16" spans="1:28" customHeight="1" ht="13.5" s="4" customFormat="1">
      <c r="A16" s="310" t="s">
        <v>25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8"/>
      <c r="N16" s="38"/>
      <c r="O16" s="39"/>
      <c r="Q16" s="10"/>
    </row>
    <row r="17" spans="1:28" customHeight="1" ht="24" s="4" customFormat="1">
      <c r="A17" s="358" t="s">
        <v>26</v>
      </c>
      <c r="B17" s="359"/>
      <c r="C17" s="370"/>
      <c r="D17" s="370"/>
      <c r="E17" s="371"/>
      <c r="F17" s="40" t="s">
        <v>27</v>
      </c>
      <c r="G17" s="41" t="s">
        <v>28</v>
      </c>
      <c r="H17" s="266" t="s">
        <v>29</v>
      </c>
      <c r="I17" s="42" t="s">
        <v>30</v>
      </c>
      <c r="J17" s="236" t="s">
        <v>31</v>
      </c>
      <c r="K17" s="43" t="s">
        <v>32</v>
      </c>
      <c r="L17" s="296"/>
      <c r="M17" s="44"/>
      <c r="Q17" s="10"/>
    </row>
    <row r="18" spans="1:28" customHeight="1" ht="24" s="4" customFormat="1">
      <c r="A18" s="45" t="s">
        <v>33</v>
      </c>
      <c r="C18" s="353"/>
      <c r="D18" s="354"/>
      <c r="E18" s="170" t="s">
        <v>34</v>
      </c>
      <c r="F18" s="334"/>
      <c r="G18" s="334"/>
      <c r="H18" s="171" t="s">
        <v>35</v>
      </c>
      <c r="I18" s="334"/>
      <c r="J18" s="335"/>
      <c r="K18" s="45" t="s">
        <v>36</v>
      </c>
      <c r="L18" s="254">
        <v>1</v>
      </c>
      <c r="M18" s="26"/>
      <c r="N18" s="26"/>
      <c r="O18" s="26"/>
      <c r="Q18" s="10"/>
    </row>
    <row r="19" spans="1:28" customHeight="1" ht="24" s="44" customFormat="1">
      <c r="A19" s="46" t="s">
        <v>37</v>
      </c>
      <c r="B19" s="336"/>
      <c r="C19" s="336"/>
      <c r="D19" s="336"/>
      <c r="E19" s="336"/>
      <c r="F19" s="47" t="s">
        <v>38</v>
      </c>
      <c r="G19" s="357" t="s">
        <v>39</v>
      </c>
      <c r="H19" s="357"/>
      <c r="I19" s="357"/>
      <c r="J19" s="357"/>
      <c r="K19" s="48" t="s">
        <v>40</v>
      </c>
      <c r="L19" s="49" t="str">
        <f>IF(H10="i","IT-018-0","IT-018-1")</f>
        <v>0</v>
      </c>
      <c r="M19" s="50"/>
      <c r="N19" s="50"/>
      <c r="O19" s="51"/>
      <c r="Q19" s="33"/>
    </row>
    <row r="20" spans="1:28" customHeight="1" ht="5.25" s="4" customFormat="1">
      <c r="A20" s="52"/>
      <c r="B20" s="52"/>
      <c r="C20" s="53"/>
      <c r="D20" s="54"/>
      <c r="E20" s="32"/>
      <c r="F20" s="55"/>
      <c r="G20" s="26"/>
      <c r="H20" s="26"/>
      <c r="I20" s="32"/>
      <c r="J20" s="33"/>
      <c r="K20" s="33"/>
      <c r="L20" s="33"/>
      <c r="M20" s="33"/>
      <c r="N20" s="33"/>
      <c r="O20" s="33"/>
      <c r="Q20" s="10"/>
    </row>
    <row r="21" spans="1:28" customHeight="1" ht="16.5" s="4" customFormat="1">
      <c r="A21" s="310" t="s">
        <v>41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44"/>
      <c r="N21" s="44"/>
      <c r="O21" s="39"/>
      <c r="P21" s="307"/>
      <c r="Q21" s="307"/>
      <c r="R21" s="56"/>
      <c r="S21" s="56"/>
      <c r="T21" s="56"/>
      <c r="U21" s="56"/>
      <c r="V21" s="56"/>
    </row>
    <row r="22" spans="1:28" customHeight="1" ht="14.25" s="4" customFormat="1">
      <c r="A22" s="341" t="s">
        <v>42</v>
      </c>
      <c r="B22" s="342"/>
      <c r="C22" s="355" t="s">
        <v>43</v>
      </c>
      <c r="D22" s="356"/>
      <c r="E22" s="57" t="s">
        <v>44</v>
      </c>
      <c r="F22" s="58" t="s">
        <v>45</v>
      </c>
      <c r="G22" s="320" t="s">
        <v>46</v>
      </c>
      <c r="H22" s="321"/>
      <c r="I22" s="57" t="s">
        <v>47</v>
      </c>
      <c r="J22" s="57" t="s">
        <v>48</v>
      </c>
      <c r="K22" s="59" t="s">
        <v>49</v>
      </c>
      <c r="L22" s="60"/>
      <c r="M22" s="61"/>
      <c r="N22" s="61"/>
      <c r="O22" s="62"/>
      <c r="U22" s="62"/>
    </row>
    <row r="23" spans="1:28" customHeight="1" ht="20.25" s="4" customFormat="1">
      <c r="A23" s="63" t="s">
        <v>50</v>
      </c>
      <c r="B23" s="108"/>
      <c r="C23" s="311" t="s">
        <v>51</v>
      </c>
      <c r="D23" s="312"/>
      <c r="E23" s="255">
        <v>0.01</v>
      </c>
      <c r="F23" s="64" t="s">
        <v>52</v>
      </c>
      <c r="G23" s="364"/>
      <c r="H23" s="365"/>
      <c r="I23" s="109"/>
      <c r="J23" s="110"/>
      <c r="K23" s="418">
        <v>0.1</v>
      </c>
      <c r="L23" s="60"/>
      <c r="M23" s="61"/>
      <c r="N23" s="61"/>
      <c r="O23" s="62"/>
    </row>
    <row r="24" spans="1:28" customHeight="1" ht="11.25" s="4" customFormat="1">
      <c r="A24" s="65"/>
      <c r="B24" s="66"/>
      <c r="C24" s="66"/>
      <c r="D24" s="66"/>
      <c r="E24" s="66"/>
      <c r="F24" s="66"/>
      <c r="G24" s="33"/>
      <c r="H24" s="33"/>
      <c r="I24" s="66"/>
      <c r="J24" s="67"/>
      <c r="K24" s="68"/>
    </row>
    <row r="25" spans="1:28" customHeight="1" ht="21">
      <c r="A25" s="360" t="s">
        <v>53</v>
      </c>
      <c r="B25" s="361"/>
      <c r="C25" s="172" t="s">
        <v>54</v>
      </c>
      <c r="D25" s="319" t="s">
        <v>55</v>
      </c>
      <c r="E25" s="319"/>
      <c r="F25" s="111">
        <v>21.9</v>
      </c>
      <c r="G25" s="69" t="s">
        <v>56</v>
      </c>
      <c r="H25" s="319" t="s">
        <v>57</v>
      </c>
      <c r="I25" s="319"/>
      <c r="J25" s="112">
        <v>47</v>
      </c>
      <c r="K25" s="69" t="s">
        <v>58</v>
      </c>
      <c r="L25" s="70"/>
      <c r="M25" s="71"/>
      <c r="N25" s="71"/>
      <c r="O25" s="71"/>
      <c r="P25" s="317"/>
      <c r="Q25" s="317"/>
    </row>
    <row r="26" spans="1:28" customHeight="1" ht="21">
      <c r="A26" s="362"/>
      <c r="B26" s="363"/>
      <c r="C26" s="172" t="s">
        <v>59</v>
      </c>
      <c r="D26" s="319" t="s">
        <v>55</v>
      </c>
      <c r="E26" s="319"/>
      <c r="F26" s="111">
        <v>22</v>
      </c>
      <c r="G26" s="69" t="s">
        <v>56</v>
      </c>
      <c r="H26" s="319" t="s">
        <v>57</v>
      </c>
      <c r="I26" s="319"/>
      <c r="J26" s="112">
        <v>47</v>
      </c>
      <c r="K26" s="69" t="s">
        <v>58</v>
      </c>
      <c r="L26" s="70"/>
      <c r="M26" s="71"/>
      <c r="N26" s="71"/>
      <c r="O26" s="71"/>
      <c r="P26" s="318"/>
      <c r="Q26" s="318"/>
    </row>
    <row r="27" spans="1:28" customHeight="1" ht="4.5">
      <c r="A27" s="72"/>
      <c r="B27" s="72"/>
      <c r="C27" s="73"/>
      <c r="D27" s="74"/>
      <c r="E27" s="44"/>
      <c r="F27" s="32"/>
      <c r="G27" s="75"/>
      <c r="H27" s="75"/>
      <c r="I27" s="26"/>
      <c r="J27" s="35"/>
      <c r="K27" s="35"/>
      <c r="L27" s="71"/>
      <c r="M27" s="71"/>
      <c r="N27" s="71"/>
      <c r="O27" s="71"/>
    </row>
    <row r="28" spans="1:28" customHeight="1" ht="16.5" s="4" customFormat="1">
      <c r="A28" s="76"/>
      <c r="B28" s="76"/>
      <c r="C28" s="76"/>
      <c r="D28" s="309" t="s">
        <v>60</v>
      </c>
      <c r="E28" s="309"/>
      <c r="F28" s="309"/>
      <c r="G28" s="310"/>
      <c r="H28" s="310"/>
      <c r="I28" s="310"/>
      <c r="J28" s="310"/>
      <c r="K28" s="310"/>
      <c r="L28" s="310"/>
      <c r="M28" s="38"/>
      <c r="N28" s="38"/>
      <c r="O28" s="39"/>
      <c r="Q28" s="10"/>
    </row>
    <row r="29" spans="1:28" customHeight="1" ht="16.5">
      <c r="A29" s="77"/>
      <c r="B29" s="175"/>
      <c r="C29" s="176"/>
      <c r="D29" s="175"/>
      <c r="E29" s="297"/>
      <c r="F29" s="298"/>
      <c r="G29" s="315" t="s">
        <v>61</v>
      </c>
      <c r="H29" s="316"/>
      <c r="I29" s="315" t="s">
        <v>62</v>
      </c>
      <c r="J29" s="316"/>
      <c r="K29" s="315" t="s">
        <v>63</v>
      </c>
      <c r="L29" s="323"/>
      <c r="M29" s="7"/>
      <c r="N29" s="308"/>
      <c r="O29" s="308"/>
      <c r="P29" s="308"/>
      <c r="Q29" s="308"/>
    </row>
    <row r="30" spans="1:28" customHeight="1" ht="16.5">
      <c r="A30" s="78" t="s">
        <v>64</v>
      </c>
      <c r="B30" s="322" t="s">
        <v>65</v>
      </c>
      <c r="C30" s="300"/>
      <c r="D30" s="177"/>
      <c r="E30" s="299"/>
      <c r="F30" s="300"/>
      <c r="G30" s="79" t="s">
        <v>66</v>
      </c>
      <c r="H30" s="80" t="s">
        <v>67</v>
      </c>
      <c r="I30" s="79" t="s">
        <v>66</v>
      </c>
      <c r="J30" s="80" t="s">
        <v>67</v>
      </c>
      <c r="K30" s="79" t="s">
        <v>66</v>
      </c>
      <c r="L30" s="80" t="s">
        <v>67</v>
      </c>
      <c r="M30" s="81"/>
      <c r="N30" s="179"/>
      <c r="O30" s="82"/>
      <c r="P30" s="83"/>
      <c r="Q30" s="4"/>
      <c r="S30" s="366"/>
      <c r="T30" s="366"/>
    </row>
    <row r="31" spans="1:28" customHeight="1" ht="14.1">
      <c r="A31" s="78" t="s">
        <v>68</v>
      </c>
      <c r="B31" s="313" t="s">
        <v>52</v>
      </c>
      <c r="C31" s="314"/>
      <c r="D31" s="181"/>
      <c r="E31" s="299"/>
      <c r="F31" s="300"/>
      <c r="G31" s="313" t="str">
        <f>B31</f>
        <v>0</v>
      </c>
      <c r="H31" s="314"/>
      <c r="I31" s="313" t="str">
        <f>B31</f>
        <v>0</v>
      </c>
      <c r="J31" s="314"/>
      <c r="K31" s="313" t="str">
        <f>B31</f>
        <v>0</v>
      </c>
      <c r="L31" s="314"/>
      <c r="M31" s="7"/>
      <c r="N31" s="169"/>
      <c r="O31" s="169"/>
      <c r="P31" s="169"/>
      <c r="Q31" s="169"/>
      <c r="S31" s="366"/>
      <c r="T31" s="366"/>
    </row>
    <row r="32" spans="1:28" customHeight="1" ht="26.25">
      <c r="A32" s="84">
        <v>1</v>
      </c>
      <c r="B32" s="303">
        <v>300</v>
      </c>
      <c r="C32" s="304"/>
      <c r="D32" s="79"/>
      <c r="E32" s="299"/>
      <c r="F32" s="300"/>
      <c r="G32" s="256">
        <v>300</v>
      </c>
      <c r="H32" s="257">
        <v>292</v>
      </c>
      <c r="I32" s="256">
        <v>300</v>
      </c>
      <c r="J32" s="258">
        <v>292</v>
      </c>
      <c r="K32" s="256">
        <v>300</v>
      </c>
      <c r="L32" s="258">
        <v>294</v>
      </c>
      <c r="M32" s="51"/>
      <c r="N32" s="367"/>
      <c r="O32" s="367"/>
      <c r="P32" s="367"/>
      <c r="Q32" s="180"/>
      <c r="S32" s="366"/>
      <c r="T32" s="366"/>
    </row>
    <row r="33" spans="1:28" customHeight="1" ht="26.25">
      <c r="A33" s="84" t="str">
        <f>A32+1</f>
        <v>0</v>
      </c>
      <c r="B33" s="303">
        <v>2000</v>
      </c>
      <c r="C33" s="304"/>
      <c r="D33" s="79"/>
      <c r="E33" s="299"/>
      <c r="F33" s="300"/>
      <c r="G33" s="256">
        <v>2000</v>
      </c>
      <c r="H33" s="259">
        <v>1965</v>
      </c>
      <c r="I33" s="256">
        <v>2000</v>
      </c>
      <c r="J33" s="258">
        <v>1965</v>
      </c>
      <c r="K33" s="256">
        <v>2000</v>
      </c>
      <c r="L33" s="259">
        <v>1965</v>
      </c>
      <c r="M33" s="51"/>
      <c r="N33" s="366"/>
      <c r="O33" s="366"/>
      <c r="P33" s="366"/>
      <c r="Q33" s="366"/>
    </row>
    <row r="34" spans="1:28" customHeight="1" ht="26.25">
      <c r="A34" s="84" t="str">
        <f>A33+1</f>
        <v>0</v>
      </c>
      <c r="B34" s="303">
        <v>2500</v>
      </c>
      <c r="C34" s="304"/>
      <c r="D34" s="79"/>
      <c r="E34" s="299"/>
      <c r="F34" s="300"/>
      <c r="G34" s="256">
        <v>2500</v>
      </c>
      <c r="H34" s="259">
        <v>2453</v>
      </c>
      <c r="I34" s="256">
        <v>2500</v>
      </c>
      <c r="J34" s="258">
        <v>2454</v>
      </c>
      <c r="K34" s="256">
        <v>2500</v>
      </c>
      <c r="L34" s="259">
        <v>2454</v>
      </c>
      <c r="M34" s="51"/>
      <c r="N34" s="366"/>
      <c r="O34" s="366"/>
      <c r="P34" s="366"/>
      <c r="Q34" s="366"/>
    </row>
    <row r="35" spans="1:28" customHeight="1" ht="26.25">
      <c r="A35" s="84" t="str">
        <f>A34+1</f>
        <v>0</v>
      </c>
      <c r="B35" s="303">
        <v>3000</v>
      </c>
      <c r="C35" s="304"/>
      <c r="D35" s="79"/>
      <c r="E35" s="299"/>
      <c r="F35" s="300"/>
      <c r="G35" s="256">
        <v>3000</v>
      </c>
      <c r="H35" s="259">
        <v>2940</v>
      </c>
      <c r="I35" s="256">
        <v>3000</v>
      </c>
      <c r="J35" s="258">
        <v>2942</v>
      </c>
      <c r="K35" s="256">
        <v>3000</v>
      </c>
      <c r="L35" s="259">
        <v>2941</v>
      </c>
      <c r="M35" s="51"/>
      <c r="N35" s="51"/>
      <c r="O35" s="85"/>
    </row>
    <row r="36" spans="1:28" customHeight="1" ht="26.25">
      <c r="A36" s="84" t="str">
        <f>A35+1</f>
        <v>0</v>
      </c>
      <c r="B36" s="303">
        <v>3500</v>
      </c>
      <c r="C36" s="304"/>
      <c r="D36" s="79"/>
      <c r="E36" s="299"/>
      <c r="F36" s="300"/>
      <c r="G36" s="256">
        <v>3500</v>
      </c>
      <c r="H36" s="258">
        <v>3418</v>
      </c>
      <c r="I36" s="260">
        <v>3500</v>
      </c>
      <c r="J36" s="258">
        <v>3420</v>
      </c>
      <c r="K36" s="256">
        <v>3500</v>
      </c>
      <c r="L36" s="258">
        <v>3418</v>
      </c>
      <c r="M36" s="51"/>
      <c r="N36" s="51"/>
      <c r="O36" s="85"/>
    </row>
    <row r="37" spans="1:28" customHeight="1" ht="26.25">
      <c r="A37" s="84" t="str">
        <f>A36+1</f>
        <v>0</v>
      </c>
      <c r="B37" s="303"/>
      <c r="C37" s="304"/>
      <c r="D37" s="79"/>
      <c r="E37" s="299"/>
      <c r="F37" s="300"/>
      <c r="G37" s="256"/>
      <c r="H37" s="259"/>
      <c r="I37" s="256"/>
      <c r="J37" s="258"/>
      <c r="K37" s="256"/>
      <c r="L37" s="259"/>
      <c r="M37" s="51"/>
      <c r="N37" s="51"/>
      <c r="O37" s="85"/>
    </row>
    <row r="38" spans="1:28" customHeight="1" ht="26.25">
      <c r="A38" s="86" t="str">
        <f>A37+1</f>
        <v>0</v>
      </c>
      <c r="B38" s="303"/>
      <c r="C38" s="304"/>
      <c r="D38" s="79"/>
      <c r="E38" s="299"/>
      <c r="F38" s="300"/>
      <c r="G38" s="256"/>
      <c r="H38" s="259"/>
      <c r="I38" s="256"/>
      <c r="J38" s="258"/>
      <c r="K38" s="256"/>
      <c r="L38" s="259"/>
      <c r="M38" s="51"/>
      <c r="N38" s="51"/>
      <c r="O38" s="85"/>
    </row>
    <row r="39" spans="1:28" customHeight="1" ht="26.25">
      <c r="A39" s="84" t="str">
        <f>A38+1</f>
        <v>0</v>
      </c>
      <c r="B39" s="303"/>
      <c r="C39" s="304"/>
      <c r="D39" s="79"/>
      <c r="E39" s="299"/>
      <c r="F39" s="300"/>
      <c r="G39" s="256"/>
      <c r="H39" s="257"/>
      <c r="I39" s="256"/>
      <c r="J39" s="258"/>
      <c r="K39" s="256"/>
      <c r="L39" s="258"/>
      <c r="M39" s="51"/>
      <c r="N39" s="51"/>
      <c r="O39" s="87"/>
    </row>
    <row r="40" spans="1:28" customHeight="1" ht="26.25">
      <c r="A40" s="84" t="str">
        <f>A39+1</f>
        <v>0</v>
      </c>
      <c r="B40" s="303"/>
      <c r="C40" s="304"/>
      <c r="D40" s="79"/>
      <c r="E40" s="299"/>
      <c r="F40" s="300"/>
      <c r="G40" s="260"/>
      <c r="H40" s="258"/>
      <c r="I40" s="260"/>
      <c r="J40" s="258"/>
      <c r="K40" s="260"/>
      <c r="L40" s="258"/>
      <c r="M40" s="51"/>
      <c r="N40" s="51"/>
      <c r="O40" s="87"/>
    </row>
    <row r="41" spans="1:28" customHeight="1" ht="26.25">
      <c r="A41" s="84" t="str">
        <f>A40+1</f>
        <v>0</v>
      </c>
      <c r="B41" s="303"/>
      <c r="C41" s="304"/>
      <c r="D41" s="79"/>
      <c r="E41" s="299"/>
      <c r="F41" s="300"/>
      <c r="G41" s="256"/>
      <c r="H41" s="261"/>
      <c r="I41" s="256"/>
      <c r="J41" s="259"/>
      <c r="K41" s="256"/>
      <c r="L41" s="259"/>
      <c r="M41" s="51"/>
      <c r="N41" s="51"/>
      <c r="O41" s="87"/>
    </row>
    <row r="42" spans="1:28" customHeight="1" ht="26.25">
      <c r="A42" s="88" t="str">
        <f>A41+1</f>
        <v>0</v>
      </c>
      <c r="B42" s="305"/>
      <c r="C42" s="306"/>
      <c r="D42" s="89"/>
      <c r="E42" s="301"/>
      <c r="F42" s="302"/>
      <c r="G42" s="262"/>
      <c r="H42" s="263"/>
      <c r="I42" s="264"/>
      <c r="J42" s="265"/>
      <c r="K42" s="262"/>
      <c r="L42" s="263"/>
      <c r="M42" s="51"/>
      <c r="N42" s="51"/>
      <c r="O42" s="87"/>
    </row>
    <row r="43" spans="1:28" customHeight="1" ht="1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246"/>
      <c r="L43" s="246"/>
      <c r="M43" s="91"/>
      <c r="N43" s="91"/>
      <c r="O43" s="92"/>
      <c r="P43" s="92"/>
      <c r="S43" s="62"/>
      <c r="AB43" s="93"/>
    </row>
    <row r="44" spans="1:28" customHeight="1" ht="12">
      <c r="A44" s="91"/>
      <c r="B44" s="91"/>
      <c r="C44" s="91"/>
      <c r="D44" s="91"/>
      <c r="E44" s="91"/>
      <c r="F44" s="91"/>
      <c r="G44" s="94" t="s">
        <v>69</v>
      </c>
      <c r="H44" s="91"/>
      <c r="I44" s="91"/>
      <c r="J44" s="91"/>
      <c r="K44" s="338" t="s">
        <v>70</v>
      </c>
      <c r="L44" s="338"/>
      <c r="M44" s="91"/>
      <c r="N44" s="91"/>
      <c r="O44" s="92"/>
      <c r="P44" s="92"/>
      <c r="S44" s="95"/>
      <c r="AB44" s="93"/>
    </row>
    <row r="45" spans="1:28" customHeight="1" ht="12">
      <c r="A45" s="50" t="s">
        <v>71</v>
      </c>
      <c r="F45" s="50"/>
      <c r="G45" s="50"/>
      <c r="H45" s="50"/>
      <c r="I45" s="50"/>
      <c r="J45" s="36" t="str">
        <f>L19</f>
        <v>0</v>
      </c>
      <c r="K45" s="244" t="s">
        <v>72</v>
      </c>
      <c r="L45" s="245" t="s">
        <v>73</v>
      </c>
      <c r="M45" s="50"/>
      <c r="N45" s="50"/>
      <c r="O45" s="92"/>
      <c r="P45" s="92"/>
      <c r="Q45" s="92"/>
      <c r="R45" s="92"/>
      <c r="S45" s="95"/>
      <c r="AB45" s="93"/>
    </row>
    <row r="46" spans="1:28" customHeight="1" ht="12">
      <c r="A46" s="156" t="s">
        <v>74</v>
      </c>
      <c r="F46" s="50"/>
      <c r="G46" s="50"/>
      <c r="H46" s="50"/>
      <c r="I46" s="50"/>
      <c r="J46" s="50"/>
      <c r="K46" s="247">
        <v>36000</v>
      </c>
      <c r="L46" s="247">
        <v>36000</v>
      </c>
      <c r="M46" s="50"/>
      <c r="N46" s="50"/>
      <c r="O46" s="92"/>
      <c r="P46" s="92"/>
      <c r="Q46" s="92"/>
      <c r="R46" s="92"/>
      <c r="S46" s="95"/>
      <c r="AB46" s="93"/>
    </row>
    <row r="47" spans="1:28" customHeight="1" ht="12">
      <c r="A47" s="157" t="s">
        <v>75</v>
      </c>
      <c r="F47" s="92"/>
      <c r="G47" s="92"/>
      <c r="H47" s="92"/>
      <c r="I47" s="92"/>
      <c r="J47" s="92"/>
      <c r="K47" s="339" t="str">
        <f>IF((MAX(K46,L46)-MIN(K46,L46))&lt;=5,"Aprovado p/ uso","Reprovado p/ uso")</f>
        <v>0</v>
      </c>
      <c r="L47" s="340"/>
      <c r="M47" s="242"/>
      <c r="N47" s="242"/>
      <c r="O47" s="242"/>
      <c r="P47" s="243"/>
      <c r="Q47" s="158" t="s">
        <v>76</v>
      </c>
      <c r="R47" s="92"/>
      <c r="S47" s="95"/>
      <c r="AB47" s="93"/>
    </row>
    <row r="48" spans="1:28" customHeight="1" ht="12">
      <c r="A48" s="157" t="s">
        <v>77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160" t="s">
        <v>78</v>
      </c>
      <c r="R48" s="92"/>
      <c r="S48" s="95"/>
      <c r="AB48" s="93"/>
    </row>
    <row r="49" spans="1:28" customHeight="1" ht="12">
      <c r="A49" s="157" t="s">
        <v>79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5"/>
      <c r="AB49" s="93"/>
    </row>
    <row r="50" spans="1:28" customHeight="1" ht="12">
      <c r="A50" s="158" t="s">
        <v>80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5"/>
      <c r="AB50" s="93"/>
    </row>
    <row r="51" spans="1:28" customHeight="1" ht="12"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5"/>
      <c r="AB51" s="4"/>
    </row>
    <row r="52" spans="1:28" customHeight="1" ht="12.75">
      <c r="F52" s="92"/>
      <c r="G52" s="92"/>
      <c r="H52" s="92"/>
      <c r="I52" s="92"/>
      <c r="J52" s="92"/>
      <c r="K52" s="92"/>
      <c r="L52" s="92"/>
      <c r="M52" s="92"/>
      <c r="N52" s="92"/>
      <c r="O52" s="96"/>
    </row>
    <row r="53" spans="1:28" customHeight="1" ht="13.5">
      <c r="A53" s="92"/>
      <c r="F53" s="92"/>
      <c r="G53" s="92"/>
      <c r="H53" s="92"/>
      <c r="I53" s="92"/>
      <c r="J53" s="92"/>
      <c r="K53" s="92"/>
      <c r="L53" s="92"/>
      <c r="M53" s="92"/>
      <c r="N53" s="92"/>
      <c r="O53" s="10"/>
    </row>
    <row r="54" spans="1:28" customHeight="1" ht="21">
      <c r="A54" s="346" t="s">
        <v>81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8"/>
      <c r="M54" s="96"/>
      <c r="N54" s="96"/>
      <c r="O54" s="10"/>
    </row>
    <row r="55" spans="1:28" customHeight="1" ht="21.75">
      <c r="A55" s="343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5"/>
      <c r="M55" s="97"/>
      <c r="N55" s="97"/>
      <c r="O55" s="10"/>
    </row>
    <row r="56" spans="1:28" customHeight="1" ht="21.75">
      <c r="A56" s="331"/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3"/>
      <c r="M56" s="10"/>
      <c r="N56" s="10"/>
      <c r="O56" s="33"/>
    </row>
    <row r="57" spans="1:28" customHeight="1" ht="21.75">
      <c r="A57" s="328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10"/>
      <c r="N57" s="10"/>
    </row>
    <row r="58" spans="1:28" customHeight="1" ht="12.75">
      <c r="A58" s="98"/>
      <c r="C58" s="327"/>
      <c r="D58" s="327"/>
      <c r="E58" s="327"/>
      <c r="F58" s="99"/>
      <c r="G58" s="10"/>
      <c r="H58" s="10"/>
      <c r="I58" s="10"/>
      <c r="J58" s="10"/>
      <c r="K58" s="10"/>
      <c r="L58" s="10"/>
      <c r="M58" s="10"/>
      <c r="N58" s="10"/>
    </row>
    <row r="59" spans="1:28" customHeight="1" ht="15">
      <c r="A59" s="326" t="s">
        <v>82</v>
      </c>
      <c r="B59" s="326"/>
      <c r="C59" s="325" t="s">
        <v>83</v>
      </c>
      <c r="D59" s="325"/>
      <c r="E59" s="325"/>
      <c r="G59" s="100" t="s">
        <v>84</v>
      </c>
      <c r="H59" s="324"/>
      <c r="I59" s="324"/>
      <c r="J59" s="324"/>
      <c r="K59" s="33"/>
    </row>
    <row r="60" spans="1:28" customHeight="1" ht="12.75">
      <c r="L60" s="101" t="s">
        <v>85</v>
      </c>
      <c r="M60" s="101"/>
      <c r="N60" s="101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0:T32"/>
    <mergeCell ref="N33:Q34"/>
    <mergeCell ref="N32:P32"/>
    <mergeCell ref="A1:B2"/>
    <mergeCell ref="D2:K2"/>
    <mergeCell ref="B12:I12"/>
    <mergeCell ref="K12:L12"/>
    <mergeCell ref="C17:E17"/>
    <mergeCell ref="B11:I11"/>
    <mergeCell ref="L2:L6"/>
    <mergeCell ref="A8:I8"/>
    <mergeCell ref="K8:L8"/>
    <mergeCell ref="A6:K6"/>
    <mergeCell ref="B13:I13"/>
    <mergeCell ref="F4:G4"/>
    <mergeCell ref="K13:L13"/>
    <mergeCell ref="C10:G10"/>
    <mergeCell ref="K11:L11"/>
    <mergeCell ref="B14:I14"/>
    <mergeCell ref="H25:I25"/>
    <mergeCell ref="F18:G18"/>
    <mergeCell ref="C18:D18"/>
    <mergeCell ref="C22:D22"/>
    <mergeCell ref="B19:E19"/>
    <mergeCell ref="G19:J19"/>
    <mergeCell ref="A17:B17"/>
    <mergeCell ref="A25:B26"/>
    <mergeCell ref="G23:H23"/>
    <mergeCell ref="A56:L56"/>
    <mergeCell ref="I18:J18"/>
    <mergeCell ref="K14:L14"/>
    <mergeCell ref="A16:L16"/>
    <mergeCell ref="K44:L44"/>
    <mergeCell ref="K47:L47"/>
    <mergeCell ref="B36:C36"/>
    <mergeCell ref="B37:C37"/>
    <mergeCell ref="B38:C38"/>
    <mergeCell ref="B39:C39"/>
    <mergeCell ref="A22:B22"/>
    <mergeCell ref="A21:L21"/>
    <mergeCell ref="A55:L55"/>
    <mergeCell ref="A54:L54"/>
    <mergeCell ref="G31:H31"/>
    <mergeCell ref="I31:J31"/>
    <mergeCell ref="H59:J59"/>
    <mergeCell ref="C59:E59"/>
    <mergeCell ref="A59:B59"/>
    <mergeCell ref="C58:E58"/>
    <mergeCell ref="A57:L57"/>
    <mergeCell ref="P21:Q21"/>
    <mergeCell ref="N29:Q29"/>
    <mergeCell ref="D28:L28"/>
    <mergeCell ref="C23:D23"/>
    <mergeCell ref="K31:L31"/>
    <mergeCell ref="G29:H29"/>
    <mergeCell ref="P25:Q25"/>
    <mergeCell ref="P26:Q26"/>
    <mergeCell ref="D26:E26"/>
    <mergeCell ref="H26:I26"/>
    <mergeCell ref="D25:E25"/>
    <mergeCell ref="G22:H22"/>
    <mergeCell ref="B31:C31"/>
    <mergeCell ref="B30:C30"/>
    <mergeCell ref="I29:J29"/>
    <mergeCell ref="K29:L29"/>
    <mergeCell ref="E29:F42"/>
    <mergeCell ref="B40:C40"/>
    <mergeCell ref="B41:C41"/>
    <mergeCell ref="B42:C42"/>
    <mergeCell ref="B35:C35"/>
    <mergeCell ref="B32:C32"/>
    <mergeCell ref="B33:C33"/>
    <mergeCell ref="B34:C34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72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F76"/>
  <sheetViews>
    <sheetView tabSelected="0" workbookViewId="0" view="pageBreakPreview" showGridLines="false" showRowColHeaders="1">
      <selection activeCell="B33" sqref="B33"/>
    </sheetView>
  </sheetViews>
  <sheetFormatPr customHeight="true" defaultRowHeight="12.75" outlineLevelRow="0" outlineLevelCol="0"/>
  <cols>
    <col min="1" max="1" width="9.140625" customWidth="true" style="4"/>
    <col min="2" max="2" width="9.42578125" customWidth="true" style="4"/>
    <col min="3" max="3" width="7.42578125" customWidth="true" style="4"/>
    <col min="4" max="4" width="10" customWidth="true" style="4"/>
    <col min="5" max="5" width="10.42578125" customWidth="true" style="4"/>
    <col min="6" max="6" width="16.7109375" customWidth="true" style="4"/>
    <col min="7" max="7" width="14.85546875" customWidth="true" style="4"/>
    <col min="8" max="8" width="10.42578125" customWidth="true" style="4"/>
    <col min="9" max="9" width="10.85546875" customWidth="true" style="4"/>
    <col min="10" max="10" width="7.28515625" customWidth="true" style="4"/>
    <col min="11" max="11" width="13.140625" customWidth="true" style="4"/>
    <col min="12" max="12" width="10.85546875" customWidth="true" style="4"/>
    <col min="13" max="13" width="5.140625" customWidth="true" style="4"/>
    <col min="14" max="14" width="9.85546875" customWidth="true" style="4"/>
    <col min="15" max="15" width="9.7109375" customWidth="true" style="4"/>
    <col min="16" max="16" width="9.7109375" customWidth="true" style="4"/>
    <col min="17" max="17" width="9.7109375" customWidth="true" style="4"/>
    <col min="18" max="18" width="2.5703125" customWidth="true" style="4"/>
    <col min="19" max="19" width="10.7109375" customWidth="true" style="4"/>
    <col min="20" max="20" width="9.7109375" customWidth="true" style="4"/>
    <col min="21" max="21" width="9.7109375" customWidth="true" style="4"/>
    <col min="22" max="22" width="9.7109375" customWidth="true" style="4"/>
    <col min="23" max="23" width="5.85546875" customWidth="true" style="4"/>
    <col min="24" max="24" width="7.140625" customWidth="true" style="4"/>
    <col min="25" max="25" width="8.5703125" customWidth="true" style="4"/>
    <col min="26" max="26" width="9" customWidth="true" style="4"/>
    <col min="27" max="27" width="5.42578125" customWidth="true" style="4"/>
    <col min="28" max="28" width="5.42578125" customWidth="true" style="4"/>
    <col min="29" max="29" width="8" customWidth="true" style="4"/>
    <col min="30" max="30" width="8.42578125" customWidth="true" style="4"/>
    <col min="31" max="31" width="5.85546875" customWidth="true" style="4"/>
    <col min="32" max="32" width="5.85546875" customWidth="true" style="4"/>
    <col min="33" max="33" width="6.5703125" customWidth="true" style="4"/>
    <col min="34" max="34" width="8" customWidth="true" style="4"/>
    <col min="35" max="35" width="8.140625" customWidth="true" style="4"/>
    <col min="36" max="36" width="5.42578125" customWidth="true" style="4"/>
    <col min="37" max="37" width="5.42578125" customWidth="true" style="4"/>
    <col min="38" max="38" width="5.42578125" customWidth="true" style="4"/>
    <col min="39" max="39" width="8.7109375" customWidth="true" style="4"/>
    <col min="40" max="40" width="8.7109375" customWidth="true" style="4"/>
    <col min="41" max="41" width="8.7109375" customWidth="true" style="4"/>
    <col min="42" max="42" width="8.7109375" customWidth="true" style="4"/>
    <col min="43" max="43" width="8.7109375" customWidth="true" style="4"/>
    <col min="44" max="44" width="8.7109375" customWidth="true" style="4"/>
    <col min="45" max="45" width="8.7109375" customWidth="true" style="4"/>
    <col min="46" max="46" width="8.7109375" customWidth="true" style="4"/>
    <col min="47" max="47" width="8.7109375" customWidth="true" style="4"/>
    <col min="48" max="48" width="8.7109375" customWidth="true" style="4"/>
    <col min="49" max="49" width="8.7109375" customWidth="true" style="4"/>
    <col min="50" max="50" width="8.7109375" customWidth="true" style="4"/>
    <col min="51" max="51" width="8.7109375" customWidth="true" style="4"/>
    <col min="52" max="52" width="8.7109375" customWidth="true" style="4"/>
    <col min="53" max="53" width="8.7109375" customWidth="true" style="4"/>
    <col min="54" max="54" width="8.7109375" customWidth="true" style="4"/>
    <col min="55" max="55" width="8.7109375" customWidth="true" style="4"/>
  </cols>
  <sheetData>
    <row r="1" spans="1:58" customHeight="1" ht="33.75" s="2" customFormat="1">
      <c r="B1" s="368" t="s">
        <v>0</v>
      </c>
      <c r="C1" s="368"/>
      <c r="D1" s="191" t="s">
        <v>86</v>
      </c>
      <c r="K1" s="2"/>
      <c r="P1" s="113"/>
      <c r="Q1" s="113"/>
      <c r="R1" s="113"/>
      <c r="S1" s="113"/>
      <c r="T1" s="113"/>
      <c r="U1" s="113"/>
      <c r="V1" s="113"/>
      <c r="W1" s="113"/>
    </row>
    <row r="2" spans="1:58" customHeight="1" ht="13.5" s="2" customFormat="1">
      <c r="B2" s="368"/>
      <c r="C2" s="368"/>
      <c r="E2" s="386" t="s">
        <v>2</v>
      </c>
      <c r="F2" s="386"/>
      <c r="G2" s="386"/>
      <c r="H2" s="386"/>
      <c r="I2" s="386"/>
      <c r="J2" s="386"/>
      <c r="K2" s="114"/>
      <c r="L2" s="116"/>
      <c r="M2" s="385"/>
      <c r="N2" s="115"/>
      <c r="O2" s="115"/>
    </row>
    <row r="3" spans="1:58" customHeight="1" ht="16.5" s="2" customFormat="1">
      <c r="B3" s="368"/>
      <c r="C3" s="368"/>
      <c r="D3" s="192"/>
      <c r="E3" s="116"/>
      <c r="F3" s="116"/>
      <c r="G3" s="116"/>
      <c r="H3" s="116"/>
      <c r="I3" s="116"/>
      <c r="J3" s="116"/>
      <c r="K3" s="116"/>
      <c r="L3" s="116"/>
      <c r="M3" s="385"/>
      <c r="N3" s="115"/>
      <c r="O3" s="115"/>
      <c r="AD3" s="168">
        <v>2</v>
      </c>
      <c r="AE3" s="167" t="s">
        <v>87</v>
      </c>
      <c r="AF3" s="167"/>
      <c r="AG3" s="167"/>
    </row>
    <row r="4" spans="1:58" customHeight="1" ht="9.75">
      <c r="B4" s="8"/>
      <c r="C4" s="8"/>
      <c r="D4" s="193"/>
      <c r="E4" s="117"/>
      <c r="F4" s="117"/>
      <c r="G4" s="117"/>
      <c r="H4" s="117"/>
      <c r="I4" s="117"/>
      <c r="J4" s="117"/>
      <c r="K4" s="117"/>
      <c r="L4" s="117"/>
      <c r="M4" s="385"/>
      <c r="N4" s="115"/>
      <c r="O4" s="115"/>
      <c r="AD4" s="130"/>
      <c r="AE4" s="167" t="s">
        <v>88</v>
      </c>
      <c r="AF4" s="167"/>
      <c r="AG4" s="167"/>
    </row>
    <row r="5" spans="1:58" customHeight="1" ht="16.5">
      <c r="B5" s="390" t="s">
        <v>89</v>
      </c>
      <c r="C5" s="390"/>
      <c r="D5" s="390"/>
      <c r="E5" s="390"/>
      <c r="F5" s="390"/>
      <c r="G5" s="390"/>
      <c r="H5" s="390"/>
      <c r="I5" s="390"/>
      <c r="J5" s="390"/>
      <c r="K5" s="390"/>
      <c r="L5" s="117"/>
      <c r="M5" s="385"/>
      <c r="N5" s="115"/>
      <c r="O5" s="115"/>
    </row>
    <row r="6" spans="1:58" customHeight="1" ht="3" hidden="true">
      <c r="B6" s="249"/>
      <c r="C6" s="249"/>
      <c r="D6" s="6"/>
      <c r="E6" s="9"/>
      <c r="F6" s="9"/>
      <c r="G6" s="250"/>
      <c r="H6" s="250"/>
      <c r="I6" s="9"/>
      <c r="J6" s="9"/>
      <c r="K6" s="9"/>
      <c r="L6" s="117"/>
      <c r="M6" s="385"/>
      <c r="N6" s="115"/>
      <c r="O6" s="115"/>
    </row>
    <row r="7" spans="1:58" customHeight="1" ht="3">
      <c r="B7" s="196" t="s">
        <v>90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385"/>
      <c r="N7" s="115"/>
      <c r="O7" s="115"/>
    </row>
    <row r="8" spans="1:58" customHeight="1" ht="10.5">
      <c r="J8" s="7" t="s">
        <v>91</v>
      </c>
      <c r="M8" s="385"/>
      <c r="N8" s="115"/>
      <c r="O8" s="115"/>
      <c r="P8" s="119"/>
      <c r="Q8" s="119"/>
      <c r="R8" s="119"/>
      <c r="S8" s="119"/>
      <c r="T8" s="119"/>
      <c r="U8" s="119"/>
      <c r="V8" s="119"/>
      <c r="W8" s="119"/>
    </row>
    <row r="9" spans="1:58" customHeight="1" ht="35.25">
      <c r="B9" s="391" t="s">
        <v>92</v>
      </c>
      <c r="C9" s="391"/>
      <c r="D9" s="391"/>
      <c r="E9" s="391"/>
      <c r="F9" s="391"/>
      <c r="G9" s="120" t="s">
        <v>93</v>
      </c>
      <c r="H9" s="392" t="str">
        <f>CONCATENATE("CT-R ",Registro!K8)</f>
        <v>0</v>
      </c>
      <c r="I9" s="392"/>
      <c r="J9" s="238" t="str">
        <f>Registro!Q11</f>
        <v>0</v>
      </c>
      <c r="K9" s="121"/>
      <c r="M9" s="385"/>
      <c r="N9" s="115"/>
      <c r="O9" s="115"/>
      <c r="P9" s="119"/>
      <c r="Q9" s="119"/>
      <c r="R9" s="119"/>
      <c r="S9" s="119"/>
      <c r="T9" s="119"/>
      <c r="U9" s="119"/>
      <c r="V9" s="119"/>
      <c r="W9" s="119"/>
    </row>
    <row r="10" spans="1:58" customHeight="1" ht="3">
      <c r="B10" s="122"/>
      <c r="C10" s="122"/>
      <c r="D10" s="122"/>
      <c r="E10" s="122"/>
      <c r="F10" s="122"/>
      <c r="G10" s="122"/>
      <c r="H10" s="123"/>
      <c r="I10" s="124"/>
      <c r="J10" s="124"/>
      <c r="K10" s="124"/>
      <c r="L10" s="194"/>
      <c r="M10" s="115"/>
      <c r="N10" s="115"/>
      <c r="O10" s="115"/>
      <c r="P10" s="119"/>
      <c r="Q10" s="119"/>
      <c r="R10" s="119"/>
      <c r="S10" s="119"/>
      <c r="T10" s="119"/>
      <c r="U10" s="119"/>
      <c r="V10" s="119"/>
      <c r="W10" s="119"/>
    </row>
    <row r="11" spans="1:58" customHeight="1" ht="3">
      <c r="B11" s="8"/>
      <c r="C11" s="393" t="str">
        <f>IF(J9&gt;0,"Este Certificado substitui na íntegra o anterior de mesmo número - REVISÃO","")</f>
        <v>0</v>
      </c>
      <c r="D11" s="393"/>
      <c r="E11" s="393"/>
      <c r="F11" s="393"/>
      <c r="G11" s="393"/>
      <c r="H11" s="393"/>
      <c r="I11" s="393"/>
      <c r="J11" s="125" t="str">
        <f>IF(J9&gt;0,J9-1,"")</f>
        <v>0</v>
      </c>
      <c r="K11" s="18"/>
      <c r="L11" s="18"/>
      <c r="M11" s="18"/>
      <c r="N11" s="18"/>
      <c r="O11" s="18"/>
    </row>
    <row r="12" spans="1:58" customHeight="1" ht="3">
      <c r="B12" s="8"/>
      <c r="C12" s="15"/>
      <c r="D12" s="15"/>
      <c r="E12" s="15"/>
      <c r="F12" s="15"/>
      <c r="G12" s="15"/>
      <c r="H12" s="15"/>
      <c r="I12" s="15"/>
      <c r="J12" s="17"/>
      <c r="K12" s="18"/>
      <c r="L12" s="18"/>
      <c r="M12" s="18"/>
      <c r="N12" s="18"/>
      <c r="O12" s="18"/>
    </row>
    <row r="13" spans="1:58" customHeight="1" ht="15.75">
      <c r="B13" s="126" t="s">
        <v>9</v>
      </c>
      <c r="C13" s="394" t="str">
        <f>Registro!B10</f>
        <v>0</v>
      </c>
      <c r="D13" s="394"/>
      <c r="E13" s="395" t="s">
        <v>94</v>
      </c>
      <c r="F13" s="395"/>
      <c r="G13" s="66" t="str">
        <f>IF(Registro!H10="I","INTERNO",IF(Registro!H10="C","NO CLIENTE","INFORMAR"))</f>
        <v>0</v>
      </c>
      <c r="H13" s="127" t="s">
        <v>13</v>
      </c>
      <c r="I13" s="253" t="str">
        <f>Registro!L10</f>
        <v>0</v>
      </c>
      <c r="J13" s="128" t="s">
        <v>14</v>
      </c>
      <c r="K13" s="253" t="str">
        <f>Registro!Q10</f>
        <v>0</v>
      </c>
      <c r="N13" s="22"/>
      <c r="O13" s="22"/>
      <c r="X13" s="129"/>
      <c r="Y13" s="129"/>
      <c r="Z13" s="129"/>
    </row>
    <row r="14" spans="1:58" customHeight="1" ht="16.5">
      <c r="B14" s="36" t="s">
        <v>15</v>
      </c>
      <c r="C14" s="26" t="str">
        <f>Registro!B11</f>
        <v>0</v>
      </c>
      <c r="D14" s="26"/>
      <c r="E14" s="26"/>
      <c r="F14" s="26"/>
      <c r="G14" s="26"/>
      <c r="H14" s="26"/>
      <c r="I14" s="26"/>
      <c r="J14" s="126" t="s">
        <v>16</v>
      </c>
      <c r="K14" s="66" t="str">
        <f>Registro!K11</f>
        <v>0</v>
      </c>
      <c r="M14" s="66"/>
      <c r="N14" s="66"/>
      <c r="O14" s="66"/>
    </row>
    <row r="15" spans="1:58" customHeight="1" ht="16.5">
      <c r="B15" s="32" t="s">
        <v>95</v>
      </c>
      <c r="C15" s="26" t="str">
        <f>Registro!B12</f>
        <v>0</v>
      </c>
      <c r="D15" s="26"/>
      <c r="E15" s="26"/>
      <c r="F15" s="26"/>
      <c r="G15" s="26"/>
      <c r="H15" s="26"/>
      <c r="I15" s="26"/>
      <c r="J15" s="126" t="s">
        <v>21</v>
      </c>
      <c r="K15" s="26" t="str">
        <f>Registro!K12</f>
        <v>0</v>
      </c>
      <c r="N15" s="26"/>
      <c r="O15" s="26"/>
    </row>
    <row r="16" spans="1:58" customHeight="1" ht="16.5">
      <c r="B16" s="126" t="s">
        <v>23</v>
      </c>
      <c r="C16" s="26" t="str">
        <f>Registro!B13</f>
        <v>0</v>
      </c>
      <c r="D16" s="26"/>
      <c r="E16" s="26"/>
      <c r="F16" s="26"/>
      <c r="G16" s="26"/>
      <c r="H16" s="26"/>
      <c r="I16" s="26"/>
      <c r="J16" s="126" t="s">
        <v>16</v>
      </c>
      <c r="K16" s="66" t="str">
        <f>Registro!K13</f>
        <v>0</v>
      </c>
      <c r="M16" s="66"/>
    </row>
    <row r="17" spans="1:58" customHeight="1" ht="16.5">
      <c r="B17" s="211" t="s">
        <v>95</v>
      </c>
      <c r="C17" s="234" t="str">
        <f>Registro!B14</f>
        <v>0</v>
      </c>
      <c r="D17" s="234"/>
      <c r="E17" s="234"/>
      <c r="F17" s="234"/>
      <c r="G17" s="234"/>
      <c r="H17" s="234"/>
      <c r="I17" s="234"/>
      <c r="J17" s="232" t="s">
        <v>21</v>
      </c>
      <c r="K17" s="229" t="str">
        <f>Registro!K14</f>
        <v>0</v>
      </c>
      <c r="L17" s="212"/>
    </row>
    <row r="18" spans="1:58" customHeight="1" ht="12" s="4" customFormat="1">
      <c r="B18" s="32"/>
      <c r="C18" s="33"/>
      <c r="D18" s="34"/>
      <c r="E18" s="34"/>
      <c r="F18" s="35"/>
      <c r="G18" s="35"/>
      <c r="H18" s="35"/>
      <c r="I18" s="35"/>
      <c r="J18" s="35"/>
      <c r="K18" s="36"/>
      <c r="L18" s="37"/>
      <c r="M18" s="37"/>
    </row>
    <row r="19" spans="1:58" customHeight="1" ht="16.5">
      <c r="B19" s="387" t="s">
        <v>25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13"/>
    </row>
    <row r="20" spans="1:58" customHeight="1" ht="15">
      <c r="B20" s="34" t="s">
        <v>96</v>
      </c>
      <c r="C20" s="388" t="str">
        <f>IF(AD3=1,AE3,AE4)</f>
        <v>0</v>
      </c>
      <c r="D20" s="388"/>
      <c r="E20" s="73" t="s">
        <v>97</v>
      </c>
      <c r="F20" s="66" t="str">
        <f>IF(Registro!H17="D","DIGITAL",IF(Registro!H17="A","ANALÓGICO","INFORMAR"))</f>
        <v>0</v>
      </c>
      <c r="G20" s="32" t="s">
        <v>98</v>
      </c>
      <c r="H20" s="389" t="str">
        <f>Registro!J17</f>
        <v>0</v>
      </c>
      <c r="I20" s="389"/>
      <c r="J20" s="73" t="s">
        <v>35</v>
      </c>
      <c r="K20" s="66" t="str">
        <f>Registro!I18</f>
        <v>0</v>
      </c>
      <c r="L20" s="44"/>
      <c r="M20" s="44"/>
    </row>
    <row r="21" spans="1:58" customHeight="1" ht="15">
      <c r="B21" s="34" t="s">
        <v>33</v>
      </c>
      <c r="C21" s="398" t="str">
        <f>Registro!C18</f>
        <v>0</v>
      </c>
      <c r="D21" s="398"/>
      <c r="E21" s="248" t="s">
        <v>34</v>
      </c>
      <c r="F21" s="66" t="str">
        <f>Registro!F18</f>
        <v>0</v>
      </c>
      <c r="G21" s="73" t="s">
        <v>32</v>
      </c>
      <c r="H21" s="178" t="str">
        <f>Registro!L17</f>
        <v>0</v>
      </c>
      <c r="K21" s="73" t="s">
        <v>36</v>
      </c>
      <c r="L21" s="66" t="str">
        <f>Registro!L18</f>
        <v>0</v>
      </c>
      <c r="M21" s="44"/>
    </row>
    <row r="22" spans="1:58" customHeight="1" ht="15" s="44" customFormat="1">
      <c r="B22" s="228" t="s">
        <v>37</v>
      </c>
      <c r="C22" s="399" t="str">
        <f>IF(Registro!B19&lt;&gt;0,Registro!B19,"N/D")</f>
        <v>0</v>
      </c>
      <c r="D22" s="399"/>
      <c r="E22" s="252" t="s">
        <v>38</v>
      </c>
      <c r="F22" s="400" t="str">
        <f>IF(Registro!G19&lt;&gt;0,Registro!G19,"N/D")</f>
        <v>0</v>
      </c>
      <c r="G22" s="400"/>
      <c r="H22" s="251" t="s">
        <v>40</v>
      </c>
      <c r="I22" s="229" t="str">
        <f>Registro!L19</f>
        <v>0</v>
      </c>
      <c r="J22" s="228"/>
      <c r="K22" s="230"/>
      <c r="L22" s="231"/>
    </row>
    <row r="23" spans="1:58" customHeight="1" ht="9.6" s="4" customFormat="1">
      <c r="B23" s="52"/>
      <c r="C23" s="52"/>
      <c r="D23" s="53"/>
      <c r="E23" s="54"/>
      <c r="F23" s="32"/>
      <c r="G23" s="55"/>
      <c r="H23" s="26"/>
      <c r="I23" s="26"/>
      <c r="J23" s="32"/>
      <c r="K23" s="33"/>
      <c r="L23" s="33"/>
      <c r="M23" s="33"/>
      <c r="R23" s="33"/>
      <c r="W23" s="33"/>
    </row>
    <row r="24" spans="1:58" customHeight="1" ht="16.5">
      <c r="B24" s="387" t="s">
        <v>41</v>
      </c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13"/>
      <c r="R24" s="39"/>
      <c r="W24" s="39"/>
    </row>
    <row r="25" spans="1:58" customHeight="1" ht="15.6">
      <c r="B25" s="62" t="s">
        <v>42</v>
      </c>
      <c r="C25" s="356" t="s">
        <v>43</v>
      </c>
      <c r="D25" s="356"/>
      <c r="E25" s="62"/>
      <c r="F25" s="62" t="s">
        <v>99</v>
      </c>
      <c r="G25" s="62"/>
      <c r="H25" s="61" t="s">
        <v>100</v>
      </c>
      <c r="I25" s="237" t="s">
        <v>101</v>
      </c>
      <c r="K25" s="190" t="s">
        <v>102</v>
      </c>
      <c r="L25" s="62"/>
    </row>
    <row r="26" spans="1:58" customHeight="1" ht="14.25" s="4" customFormat="1">
      <c r="B26" s="222" t="str">
        <f>CONCATENATE("LBC-",Registro!B23)</f>
        <v>0</v>
      </c>
      <c r="C26" s="384" t="str">
        <f>IF(Registro!C23&lt;&gt;0,Registro!C23,"")</f>
        <v>0</v>
      </c>
      <c r="D26" s="384"/>
      <c r="E26" s="222"/>
      <c r="G26" s="222"/>
      <c r="H26" s="223" t="str">
        <f>IF(Registro!J23&lt;&gt;0,Registro!J23,"")</f>
        <v>0</v>
      </c>
      <c r="I26" s="224" t="str">
        <f>Registro!E23</f>
        <v>0</v>
      </c>
      <c r="J26" s="225"/>
      <c r="K26" s="226" t="str">
        <f>IF(Registro!K23&lt;&gt;0,Registro!K23,"")</f>
        <v>0</v>
      </c>
      <c r="L26" s="227"/>
      <c r="R26" s="131"/>
      <c r="W26" s="131"/>
      <c r="X26" s="50"/>
    </row>
    <row r="27" spans="1:58" customHeight="1" ht="9" s="4" customFormat="1">
      <c r="B27" s="65"/>
      <c r="C27" s="66"/>
      <c r="D27" s="66"/>
      <c r="E27" s="66"/>
      <c r="F27" s="66"/>
      <c r="G27" s="66"/>
      <c r="H27" s="33"/>
      <c r="I27" s="33"/>
      <c r="J27" s="66"/>
      <c r="K27" s="67"/>
      <c r="L27" s="68"/>
    </row>
    <row r="28" spans="1:58" customHeight="1" ht="15.75">
      <c r="B28" s="404" t="s">
        <v>53</v>
      </c>
      <c r="C28" s="404"/>
      <c r="D28" s="404"/>
      <c r="E28" s="73" t="s">
        <v>103</v>
      </c>
      <c r="F28" s="410" t="s">
        <v>55</v>
      </c>
      <c r="G28" s="133" t="str">
        <f>Registro!F25</f>
        <v>0</v>
      </c>
      <c r="H28" s="134" t="s">
        <v>104</v>
      </c>
      <c r="I28" s="381" t="s">
        <v>57</v>
      </c>
      <c r="J28" s="381"/>
      <c r="K28" s="135" t="str">
        <f>Registro!J25&amp;" ± 5 %UR"</f>
        <v>0</v>
      </c>
      <c r="M28" s="71"/>
      <c r="X28" s="132" t="s">
        <v>105</v>
      </c>
      <c r="Y28" s="132"/>
      <c r="Z28" s="132" t="s">
        <v>106</v>
      </c>
      <c r="AA28" s="132" t="s">
        <v>107</v>
      </c>
      <c r="AB28" s="132" t="s">
        <v>108</v>
      </c>
      <c r="AC28" s="132" t="s">
        <v>109</v>
      </c>
    </row>
    <row r="29" spans="1:58" customHeight="1" ht="15.75">
      <c r="B29" s="405"/>
      <c r="C29" s="405"/>
      <c r="D29" s="405"/>
      <c r="E29" s="218" t="s">
        <v>59</v>
      </c>
      <c r="F29" s="411"/>
      <c r="G29" s="219" t="str">
        <f>Registro!F26</f>
        <v>0</v>
      </c>
      <c r="H29" s="220" t="s">
        <v>104</v>
      </c>
      <c r="I29" s="382"/>
      <c r="J29" s="382"/>
      <c r="K29" s="221" t="str">
        <f>Registro!J26&amp;" ± 5 %UR"</f>
        <v>0</v>
      </c>
      <c r="L29" s="212"/>
      <c r="M29" s="71"/>
      <c r="N29" s="71"/>
      <c r="X29" s="1" t="s">
        <v>110</v>
      </c>
      <c r="Y29" s="132" t="s">
        <v>111</v>
      </c>
      <c r="Z29" s="132"/>
      <c r="AA29" s="136" t="str">
        <f>K26</f>
        <v>0</v>
      </c>
      <c r="AB29" s="137">
        <v>2</v>
      </c>
      <c r="AC29" s="137">
        <v>1</v>
      </c>
      <c r="AD29" s="202"/>
    </row>
    <row r="30" spans="1:58" customHeight="1" ht="16.5">
      <c r="B30" s="138"/>
      <c r="C30" s="138"/>
      <c r="D30" s="406" t="s">
        <v>112</v>
      </c>
      <c r="E30" s="406"/>
      <c r="F30" s="406"/>
      <c r="G30" s="406"/>
      <c r="H30" s="406"/>
      <c r="I30" s="406"/>
      <c r="J30" s="406"/>
      <c r="K30" s="406"/>
      <c r="L30" s="217"/>
      <c r="M30" s="138"/>
      <c r="X30" s="1" t="s">
        <v>113</v>
      </c>
      <c r="Y30" s="132" t="s">
        <v>114</v>
      </c>
      <c r="Z30" s="132"/>
      <c r="AA30" s="136" t="str">
        <f>I26/2</f>
        <v>0</v>
      </c>
      <c r="AB30" s="142" t="str">
        <f>SQRT(12)</f>
        <v>0</v>
      </c>
      <c r="AC30" s="137">
        <v>1</v>
      </c>
      <c r="AD30" s="202"/>
    </row>
    <row r="31" spans="1:58" customHeight="1" ht="12.6" s="4" customFormat="1">
      <c r="B31" s="356"/>
      <c r="C31" s="356"/>
      <c r="D31" s="139"/>
      <c r="F31" s="139"/>
      <c r="G31" s="409"/>
      <c r="H31" s="409"/>
      <c r="I31" s="409"/>
      <c r="J31" s="409"/>
      <c r="K31" s="409"/>
      <c r="L31" s="140"/>
      <c r="M31" s="140"/>
      <c r="X31" s="1" t="s">
        <v>115</v>
      </c>
      <c r="Y31" s="412" t="s">
        <v>116</v>
      </c>
      <c r="Z31" s="413"/>
      <c r="AA31" s="203" t="str">
        <f>Deriva!D17</f>
        <v>0</v>
      </c>
      <c r="AB31" s="137" t="str">
        <f>SQRT(3)</f>
        <v>0</v>
      </c>
      <c r="AC31" s="137">
        <v>1</v>
      </c>
      <c r="AD31" s="136" t="str">
        <f>($AA31*$AC31)/$AB31</f>
        <v>0</v>
      </c>
    </row>
    <row r="32" spans="1:58" customHeight="1" ht="15">
      <c r="B32" s="62"/>
      <c r="C32" s="141"/>
      <c r="D32" s="274"/>
      <c r="E32" s="383" t="s">
        <v>117</v>
      </c>
      <c r="F32" s="383"/>
      <c r="G32" s="275"/>
      <c r="H32" s="275"/>
      <c r="I32" s="276"/>
      <c r="J32" s="277"/>
      <c r="L32" s="187"/>
      <c r="X32" s="1" t="s">
        <v>118</v>
      </c>
      <c r="Y32" s="412" t="s">
        <v>119</v>
      </c>
      <c r="Z32" s="413"/>
      <c r="AA32" s="136" t="str">
        <f>IF(Registro!H17="D",(L21/2),IF(Registro!H17="A",(L21/4),"DEFINIR"))</f>
        <v>0</v>
      </c>
      <c r="AB32" s="142" t="str">
        <f>SQRT(12)</f>
        <v>0</v>
      </c>
      <c r="AC32" s="137">
        <v>1</v>
      </c>
      <c r="AD32" s="136" t="str">
        <f>($AA32*$AC32)/$AB32</f>
        <v>0</v>
      </c>
    </row>
    <row r="33" spans="1:58" customHeight="1" ht="18">
      <c r="B33" s="141"/>
      <c r="C33" s="292" t="s">
        <v>64</v>
      </c>
      <c r="D33" s="278" t="s">
        <v>120</v>
      </c>
      <c r="E33" s="279" t="s">
        <v>121</v>
      </c>
      <c r="F33" s="279" t="s">
        <v>122</v>
      </c>
      <c r="G33" s="279" t="s">
        <v>123</v>
      </c>
      <c r="H33" s="280"/>
      <c r="I33" s="407" t="s">
        <v>124</v>
      </c>
      <c r="J33" s="408"/>
      <c r="L33" s="62"/>
      <c r="N33" s="415" t="s">
        <v>125</v>
      </c>
      <c r="O33" s="416"/>
      <c r="P33" s="416"/>
      <c r="Q33" s="417"/>
      <c r="S33" s="415" t="s">
        <v>126</v>
      </c>
      <c r="T33" s="416"/>
      <c r="U33" s="416"/>
      <c r="V33" s="417"/>
    </row>
    <row r="34" spans="1:58" customHeight="1" ht="15.75">
      <c r="B34" s="7"/>
      <c r="C34" s="292" t="s">
        <v>68</v>
      </c>
      <c r="D34" s="281" t="str">
        <f>H21</f>
        <v>0</v>
      </c>
      <c r="E34" s="282" t="s">
        <v>52</v>
      </c>
      <c r="F34" s="272" t="str">
        <f>H21</f>
        <v>0</v>
      </c>
      <c r="G34" s="282" t="str">
        <f>F34</f>
        <v>0</v>
      </c>
      <c r="H34" s="283"/>
      <c r="I34" s="283" t="str">
        <f>G34</f>
        <v>0</v>
      </c>
      <c r="J34" s="284" t="s">
        <v>58</v>
      </c>
      <c r="L34" s="144"/>
      <c r="N34" s="146" t="s">
        <v>127</v>
      </c>
      <c r="O34" s="33" t="s">
        <v>128</v>
      </c>
      <c r="P34" s="33" t="s">
        <v>129</v>
      </c>
      <c r="Q34" s="147" t="s">
        <v>130</v>
      </c>
      <c r="S34" s="146" t="s">
        <v>127</v>
      </c>
      <c r="T34" s="33" t="s">
        <v>128</v>
      </c>
      <c r="U34" s="33" t="s">
        <v>129</v>
      </c>
      <c r="V34" s="147" t="s">
        <v>130</v>
      </c>
      <c r="X34" s="148" t="s">
        <v>131</v>
      </c>
      <c r="Y34" s="148" t="s">
        <v>132</v>
      </c>
      <c r="Z34" s="148" t="s">
        <v>133</v>
      </c>
      <c r="AA34" s="149" t="s">
        <v>107</v>
      </c>
      <c r="AB34" s="149" t="s">
        <v>108</v>
      </c>
      <c r="AC34" s="149" t="s">
        <v>109</v>
      </c>
      <c r="AD34" s="149" t="s">
        <v>134</v>
      </c>
      <c r="AE34" s="149" t="s">
        <v>135</v>
      </c>
      <c r="AF34" s="197" t="s">
        <v>110</v>
      </c>
      <c r="AG34" s="197" t="s">
        <v>113</v>
      </c>
      <c r="AH34" s="149" t="s">
        <v>136</v>
      </c>
      <c r="AI34" s="174" t="s">
        <v>137</v>
      </c>
      <c r="AO34" s="197" t="s">
        <v>110</v>
      </c>
      <c r="BE34" s="268" t="s">
        <v>138</v>
      </c>
      <c r="BF34" s="268" t="s">
        <v>138</v>
      </c>
    </row>
    <row r="35" spans="1:58" customHeight="1" ht="15.75">
      <c r="B35" s="195"/>
      <c r="C35" s="293">
        <v>1</v>
      </c>
      <c r="D35" s="285" t="str">
        <f>Registro!B32</f>
        <v>0</v>
      </c>
      <c r="E35" s="286" t="str">
        <f>V35</f>
        <v>0</v>
      </c>
      <c r="F35" s="286" t="str">
        <f>Q35</f>
        <v>0</v>
      </c>
      <c r="G35" s="286" t="str">
        <f>Q35-V35</f>
        <v>0</v>
      </c>
      <c r="H35" s="294"/>
      <c r="I35" s="286" t="str">
        <f>AI35</f>
        <v>0</v>
      </c>
      <c r="J35" s="287" t="str">
        <f>I35/(MAX(D35:D45)-$D$35)*100</f>
        <v>0</v>
      </c>
      <c r="K35" s="271"/>
      <c r="L35" s="270"/>
      <c r="N35" s="182" t="str">
        <f>Registro!G32</f>
        <v>0</v>
      </c>
      <c r="O35" s="143" t="str">
        <f>Registro!I32</f>
        <v>0</v>
      </c>
      <c r="P35" s="143" t="str">
        <f>Registro!K32</f>
        <v>0</v>
      </c>
      <c r="Q35" s="185" t="str">
        <f>AVERAGE(N35:P35)</f>
        <v>0</v>
      </c>
      <c r="S35" s="182" t="str">
        <f>Registro!H32</f>
        <v>0</v>
      </c>
      <c r="T35" s="143" t="str">
        <f>Registro!J32</f>
        <v>0</v>
      </c>
      <c r="U35" s="143" t="str">
        <f>Registro!L32</f>
        <v>0</v>
      </c>
      <c r="V35" s="185" t="str">
        <f>AVERAGE(S35:U35)</f>
        <v>0</v>
      </c>
      <c r="X35" s="137" t="s">
        <v>139</v>
      </c>
      <c r="Y35" s="136" t="str">
        <f>STDEV(N35:P35)</f>
        <v>0</v>
      </c>
      <c r="Z35" s="136" t="str">
        <f>STDEV(S35:U35)</f>
        <v>0</v>
      </c>
      <c r="AA35" s="142" t="str">
        <f>SQRT($AG$47)</f>
        <v>0</v>
      </c>
      <c r="AB35" s="149">
        <v>1</v>
      </c>
      <c r="AC35" s="151" t="str">
        <f>($Y35*$AB35)/$AA35</f>
        <v>0</v>
      </c>
      <c r="AD35" s="151" t="str">
        <f>($Z35*$AB35)/$AA35</f>
        <v>0</v>
      </c>
      <c r="AE35" s="152" t="str">
        <f>$AG$47-1</f>
        <v>0</v>
      </c>
      <c r="AF35" s="153" t="str">
        <f>AO35</f>
        <v>0</v>
      </c>
      <c r="AG35" s="200" t="str">
        <f>(((IF(D35&lt;1000,0.1,1))/2)*$AC$30)/$AB$30</f>
        <v>0</v>
      </c>
      <c r="AH35" s="153" t="str">
        <f>SQRT(AF35^2+AG35^2+$AD$31^2+$AD$32^2+AC35^2+AD35^2)</f>
        <v>0</v>
      </c>
      <c r="AI35" s="267" t="str">
        <f>AH35*$AI$47</f>
        <v>0</v>
      </c>
      <c r="AM35" s="33">
        <v>5</v>
      </c>
      <c r="AN35" s="33">
        <v>0.01</v>
      </c>
      <c r="AO35" s="198" t="str">
        <f>(MAX(AP35:BC35)*$AC$29)/$AB$29</f>
        <v>0</v>
      </c>
      <c r="AP35" s="33" t="str">
        <f>IF(D35&lt;=$AM$35,$AN$35)</f>
        <v>0</v>
      </c>
      <c r="AQ35" s="33" t="str">
        <f>IF(AND(D35&gt;$AM$35,D35&lt;=$AM$36),$AN$36)</f>
        <v>0</v>
      </c>
      <c r="AR35" s="33" t="str">
        <f>IF(AND(D35&gt;$AM$36,D35&lt;=$AM$37),$AN$37)</f>
        <v>0</v>
      </c>
      <c r="AS35" s="33" t="str">
        <f>IF(AND(D35&gt;$AM$37,D35&lt;=$AM$38),$AN$38)</f>
        <v>0</v>
      </c>
      <c r="AT35" s="33" t="str">
        <f>IF(AND(D35&gt;$AM$38,D35&lt;=$AM$39),$AN$39)</f>
        <v>0</v>
      </c>
      <c r="AU35" s="33" t="str">
        <f>IF(AND(D35&gt;$AM$39,D35&lt;=$AM$40),$AN$40)</f>
        <v>0</v>
      </c>
      <c r="AV35" s="33" t="str">
        <f>IF(AND(D35&gt;$AM$40,D35&lt;=$AM$41),$AN$41)</f>
        <v>0</v>
      </c>
      <c r="AW35" s="33" t="str">
        <f>IF(AND(D35&gt;$AM$41,D35&lt;=$AM$42),$AN$42)</f>
        <v>0</v>
      </c>
      <c r="AX35" s="33" t="str">
        <f>IF(AND(D35&gt;$AM$42,D35&lt;=$AM$43),$AN$43)</f>
        <v>0</v>
      </c>
      <c r="AY35" s="33" t="str">
        <f>IF(AND(D35&gt;$AM$43,D35&lt;=$AM$44),$AN$44)</f>
        <v>0</v>
      </c>
      <c r="AZ35" s="33" t="str">
        <f>IF(AND(D35&gt;$AM$44,D35&lt;=$AM$45),$AN$45)</f>
        <v>0</v>
      </c>
      <c r="BA35" s="33" t="str">
        <f>IF(AND(D35&gt;$AM$45,D35&lt;=$AM$46),$AN$46)</f>
        <v>0</v>
      </c>
      <c r="BB35" s="33" t="str">
        <f>IF(AND(D35&gt;$AM$46,D35&lt;=$AM$47),$AN$47)</f>
        <v>0</v>
      </c>
      <c r="BC35" s="33" t="str">
        <f>IF(AND(D35&gt;$AM$47,D35&lt;=$AM$48),$AN$48)</f>
        <v>0</v>
      </c>
      <c r="BE35" s="269" t="str">
        <f>I35</f>
        <v>0</v>
      </c>
      <c r="BF35" s="269" t="str">
        <f>J35</f>
        <v>0</v>
      </c>
    </row>
    <row r="36" spans="1:58" customHeight="1" ht="15.75">
      <c r="B36" s="195"/>
      <c r="C36" s="293">
        <v>2</v>
      </c>
      <c r="D36" s="285" t="str">
        <f>Registro!B33</f>
        <v>0</v>
      </c>
      <c r="E36" s="273" t="str">
        <f>V36</f>
        <v>0</v>
      </c>
      <c r="F36" s="273" t="str">
        <f>Q36</f>
        <v>0</v>
      </c>
      <c r="G36" s="286" t="str">
        <f>Q36-V36</f>
        <v>0</v>
      </c>
      <c r="H36" s="294"/>
      <c r="I36" s="286" t="str">
        <f>AI36</f>
        <v>0</v>
      </c>
      <c r="J36" s="287" t="str">
        <f>I36/(MAX(D35:D45)-$D$35)*100</f>
        <v>0</v>
      </c>
      <c r="L36" s="145"/>
      <c r="N36" s="182" t="str">
        <f>Registro!G33</f>
        <v>0</v>
      </c>
      <c r="O36" s="143" t="str">
        <f>Registro!I33</f>
        <v>0</v>
      </c>
      <c r="P36" s="143" t="str">
        <f>Registro!K33</f>
        <v>0</v>
      </c>
      <c r="Q36" s="185" t="str">
        <f>AVERAGE(N36:P36)</f>
        <v>0</v>
      </c>
      <c r="R36" s="150"/>
      <c r="S36" s="182" t="str">
        <f>Registro!H33</f>
        <v>0</v>
      </c>
      <c r="T36" s="143" t="str">
        <f>Registro!J33</f>
        <v>0</v>
      </c>
      <c r="U36" s="143" t="str">
        <f>Registro!L33</f>
        <v>0</v>
      </c>
      <c r="V36" s="185" t="str">
        <f>AVERAGE(S36:U36)</f>
        <v>0</v>
      </c>
      <c r="X36" s="137" t="s">
        <v>140</v>
      </c>
      <c r="Y36" s="136" t="str">
        <f>STDEV(N36:P36)</f>
        <v>0</v>
      </c>
      <c r="Z36" s="136" t="str">
        <f>STDEV(S36:U36)</f>
        <v>0</v>
      </c>
      <c r="AA36" s="142" t="str">
        <f>SQRT($AG$47)</f>
        <v>0</v>
      </c>
      <c r="AB36" s="149">
        <v>1</v>
      </c>
      <c r="AC36" s="151" t="str">
        <f>($Y36*$AB36)/$AA36</f>
        <v>0</v>
      </c>
      <c r="AD36" s="151" t="str">
        <f>($Z36*$AB36)/$AA36</f>
        <v>0</v>
      </c>
      <c r="AE36" s="152" t="str">
        <f>$AG$47-1</f>
        <v>0</v>
      </c>
      <c r="AF36" s="201" t="str">
        <f>AO36</f>
        <v>0</v>
      </c>
      <c r="AG36" s="200" t="str">
        <f>(((IF(D36&lt;1000,0.1,1))/2)*$AC$30)/$AB$30</f>
        <v>0</v>
      </c>
      <c r="AH36" s="153" t="str">
        <f>SQRT(AF36^2+AG36^2+$AD$31^2+$AD$32^2+AC36^2+AD36^2)</f>
        <v>0</v>
      </c>
      <c r="AI36" s="267" t="str">
        <f>AH36*$AI$47</f>
        <v>0</v>
      </c>
      <c r="AM36" s="33">
        <v>10</v>
      </c>
      <c r="AN36" s="33">
        <v>0.02</v>
      </c>
      <c r="AO36" s="198" t="str">
        <f>(MAX(AP36:BC36)*$AC$29)/$AB$29</f>
        <v>0</v>
      </c>
      <c r="AP36" s="33" t="str">
        <f>IF(D36&lt;=$AM$35,$AN$35)</f>
        <v>0</v>
      </c>
      <c r="AQ36" s="33" t="str">
        <f>IF(AND(D36&gt;$AM$35,D36&lt;=$AM$36),$AN$36)</f>
        <v>0</v>
      </c>
      <c r="AR36" s="33" t="str">
        <f>IF(AND(D36&gt;$AM$36,D36&lt;=$AM$37),$AN$37)</f>
        <v>0</v>
      </c>
      <c r="AS36" s="33" t="str">
        <f>IF(AND(D36&gt;$AM$37,D36&lt;=$AM$38),$AN$38)</f>
        <v>0</v>
      </c>
      <c r="AT36" s="33" t="str">
        <f>IF(AND(D36&gt;$AM$38,D36&lt;=$AM$39),$AN$39)</f>
        <v>0</v>
      </c>
      <c r="AU36" s="33" t="str">
        <f>IF(AND(D36&gt;$AM$39,D36&lt;=$AM$40),$AN$40)</f>
        <v>0</v>
      </c>
      <c r="AV36" s="33" t="str">
        <f>IF(AND(D36&gt;$AM$40,D36&lt;=$AM$41),$AN$41)</f>
        <v>0</v>
      </c>
      <c r="AW36" s="33" t="str">
        <f>IF(AND(D36&gt;$AM$41,D36&lt;=$AM$42),$AN$42)</f>
        <v>0</v>
      </c>
      <c r="AX36" s="33" t="str">
        <f>IF(AND(D36&gt;$AM$42,D36&lt;=$AM$43),$AN$43)</f>
        <v>0</v>
      </c>
      <c r="AY36" s="33" t="str">
        <f>IF(AND(D36&gt;$AM$43,D36&lt;=$AM$44),$AN$44)</f>
        <v>0</v>
      </c>
      <c r="AZ36" s="33" t="str">
        <f>IF(AND(D36&gt;$AM$44,D36&lt;=$AM$45),$AN$45)</f>
        <v>0</v>
      </c>
      <c r="BA36" s="33" t="str">
        <f>IF(AND(D36&gt;$AM$45,D36&lt;=$AM$46),$AN$46)</f>
        <v>0</v>
      </c>
      <c r="BB36" s="33" t="str">
        <f>IF(AND(D36&gt;$AM$46,D36&lt;=$AM$47),$AN$47)</f>
        <v>0</v>
      </c>
      <c r="BC36" s="33" t="str">
        <f>IF(AND(D36&gt;$AM$47,D36&lt;=$AM$48),$AN$48)</f>
        <v>0</v>
      </c>
      <c r="BE36" s="269" t="str">
        <f>I36</f>
        <v>0</v>
      </c>
      <c r="BF36" s="269" t="str">
        <f>J36</f>
        <v>0</v>
      </c>
    </row>
    <row r="37" spans="1:58" customHeight="1" ht="15.75">
      <c r="B37" s="195"/>
      <c r="C37" s="293">
        <v>3</v>
      </c>
      <c r="D37" s="285" t="str">
        <f>Registro!B34</f>
        <v>0</v>
      </c>
      <c r="E37" s="273" t="str">
        <f>V37</f>
        <v>0</v>
      </c>
      <c r="F37" s="273" t="str">
        <f>Q37</f>
        <v>0</v>
      </c>
      <c r="G37" s="286" t="str">
        <f>Q37-V37</f>
        <v>0</v>
      </c>
      <c r="H37" s="294"/>
      <c r="I37" s="286" t="str">
        <f>AI37</f>
        <v>0</v>
      </c>
      <c r="J37" s="287" t="str">
        <f>I37/(MAX(D35:D45)-$D$35)*100</f>
        <v>0</v>
      </c>
      <c r="L37" s="145"/>
      <c r="N37" s="182" t="str">
        <f>Registro!G34</f>
        <v>0</v>
      </c>
      <c r="O37" s="143" t="str">
        <f>Registro!I34</f>
        <v>0</v>
      </c>
      <c r="P37" s="143" t="str">
        <f>Registro!K34</f>
        <v>0</v>
      </c>
      <c r="Q37" s="185" t="str">
        <f>AVERAGE(N37:P37)</f>
        <v>0</v>
      </c>
      <c r="R37" s="150"/>
      <c r="S37" s="182" t="str">
        <f>Registro!H34</f>
        <v>0</v>
      </c>
      <c r="T37" s="143" t="str">
        <f>Registro!J34</f>
        <v>0</v>
      </c>
      <c r="U37" s="143" t="str">
        <f>Registro!L34</f>
        <v>0</v>
      </c>
      <c r="V37" s="185" t="str">
        <f>AVERAGE(S37:U37)</f>
        <v>0</v>
      </c>
      <c r="X37" s="137" t="s">
        <v>141</v>
      </c>
      <c r="Y37" s="136" t="str">
        <f>STDEV(N37:P37)</f>
        <v>0</v>
      </c>
      <c r="Z37" s="136" t="str">
        <f>STDEV(S37:U37)</f>
        <v>0</v>
      </c>
      <c r="AA37" s="142" t="str">
        <f>SQRT($AG$47)</f>
        <v>0</v>
      </c>
      <c r="AB37" s="149">
        <v>1</v>
      </c>
      <c r="AC37" s="151" t="str">
        <f>($Y37*$AB37)/$AA37</f>
        <v>0</v>
      </c>
      <c r="AD37" s="151" t="str">
        <f>($Z37*$AB37)/$AA37</f>
        <v>0</v>
      </c>
      <c r="AE37" s="152" t="str">
        <f>$AG$47-1</f>
        <v>0</v>
      </c>
      <c r="AF37" s="201" t="str">
        <f>AO37</f>
        <v>0</v>
      </c>
      <c r="AG37" s="200" t="str">
        <f>(((IF(D37&lt;1000,0.1,1))/2)*$AC$30)/$AB$30</f>
        <v>0</v>
      </c>
      <c r="AH37" s="153" t="str">
        <f>SQRT(AF37^2+AG37^2+$AD$31^2+$AD$32^2+AC37^2+AD37^2)</f>
        <v>0</v>
      </c>
      <c r="AI37" s="267" t="str">
        <f>AH37*$AI$47</f>
        <v>0</v>
      </c>
      <c r="AM37" s="33">
        <v>50</v>
      </c>
      <c r="AN37" s="33">
        <v>0.02</v>
      </c>
      <c r="AO37" s="198" t="str">
        <f>(MAX(AP37:BC37)*$AC$29)/$AB$29</f>
        <v>0</v>
      </c>
      <c r="AP37" s="33" t="str">
        <f>IF(D37&lt;=$AM$35,$AN$35)</f>
        <v>0</v>
      </c>
      <c r="AQ37" s="33" t="str">
        <f>IF(AND(D37&gt;$AM$35,D37&lt;=$AM$36),$AN$36)</f>
        <v>0</v>
      </c>
      <c r="AR37" s="33" t="str">
        <f>IF(AND(D37&gt;$AM$36,D37&lt;=$AM$37),$AN$37)</f>
        <v>0</v>
      </c>
      <c r="AS37" s="33" t="str">
        <f>IF(AND(D37&gt;$AM$37,D37&lt;=$AM$38),$AN$38)</f>
        <v>0</v>
      </c>
      <c r="AT37" s="33" t="str">
        <f>IF(AND(D37&gt;$AM$38,D37&lt;=$AM$39),$AN$39)</f>
        <v>0</v>
      </c>
      <c r="AU37" s="33" t="str">
        <f>IF(AND(D37&gt;$AM$39,D37&lt;=$AM$40),$AN$40)</f>
        <v>0</v>
      </c>
      <c r="AV37" s="33" t="str">
        <f>IF(AND(D37&gt;$AM$40,D37&lt;=$AM$41),$AN$41)</f>
        <v>0</v>
      </c>
      <c r="AW37" s="33" t="str">
        <f>IF(AND(D37&gt;$AM$41,D37&lt;=$AM$42),$AN$42)</f>
        <v>0</v>
      </c>
      <c r="AX37" s="33" t="str">
        <f>IF(AND(D37&gt;$AM$42,D37&lt;=$AM$43),$AN$43)</f>
        <v>0</v>
      </c>
      <c r="AY37" s="33" t="str">
        <f>IF(AND(D37&gt;$AM$43,D37&lt;=$AM$44),$AN$44)</f>
        <v>0</v>
      </c>
      <c r="AZ37" s="33" t="str">
        <f>IF(AND(D37&gt;$AM$44,D37&lt;=$AM$45),$AN$45)</f>
        <v>0</v>
      </c>
      <c r="BA37" s="33" t="str">
        <f>IF(AND(D37&gt;$AM$45,D37&lt;=$AM$46),$AN$46)</f>
        <v>0</v>
      </c>
      <c r="BB37" s="33" t="str">
        <f>IF(AND(D37&gt;$AM$46,D37&lt;=$AM$47),$AN$47)</f>
        <v>0</v>
      </c>
      <c r="BC37" s="33" t="str">
        <f>IF(AND(D37&gt;$AM$47,D37&lt;=$AM$48),$AN$48)</f>
        <v>0</v>
      </c>
      <c r="BE37" s="269" t="str">
        <f>I37</f>
        <v>0</v>
      </c>
      <c r="BF37" s="269" t="str">
        <f>J37</f>
        <v>0</v>
      </c>
    </row>
    <row r="38" spans="1:58" customHeight="1" ht="15.75">
      <c r="B38" s="195"/>
      <c r="C38" s="293">
        <v>4</v>
      </c>
      <c r="D38" s="285" t="str">
        <f>Registro!B35</f>
        <v>0</v>
      </c>
      <c r="E38" s="273" t="str">
        <f>V38</f>
        <v>0</v>
      </c>
      <c r="F38" s="273" t="str">
        <f>Q38</f>
        <v>0</v>
      </c>
      <c r="G38" s="286" t="str">
        <f>Q38-V38</f>
        <v>0</v>
      </c>
      <c r="H38" s="294"/>
      <c r="I38" s="286" t="str">
        <f>AI38</f>
        <v>0</v>
      </c>
      <c r="J38" s="287" t="str">
        <f>I38/(MAX(D35:D45)-$D$35)*100</f>
        <v>0</v>
      </c>
      <c r="L38" s="145"/>
      <c r="N38" s="182" t="str">
        <f>Registro!G35</f>
        <v>0</v>
      </c>
      <c r="O38" s="143" t="str">
        <f>Registro!I35</f>
        <v>0</v>
      </c>
      <c r="P38" s="143" t="str">
        <f>Registro!K35</f>
        <v>0</v>
      </c>
      <c r="Q38" s="185" t="str">
        <f>AVERAGE(N38:P38)</f>
        <v>0</v>
      </c>
      <c r="R38" s="150"/>
      <c r="S38" s="182" t="str">
        <f>Registro!H35</f>
        <v>0</v>
      </c>
      <c r="T38" s="143" t="str">
        <f>Registro!J35</f>
        <v>0</v>
      </c>
      <c r="U38" s="143" t="str">
        <f>Registro!L35</f>
        <v>0</v>
      </c>
      <c r="V38" s="185" t="str">
        <f>AVERAGE(S38:U38)</f>
        <v>0</v>
      </c>
      <c r="X38" s="137" t="s">
        <v>142</v>
      </c>
      <c r="Y38" s="136" t="str">
        <f>STDEV(N38:P38)</f>
        <v>0</v>
      </c>
      <c r="Z38" s="136" t="str">
        <f>STDEV(S38:U38)</f>
        <v>0</v>
      </c>
      <c r="AA38" s="142" t="str">
        <f>SQRT($AG$47)</f>
        <v>0</v>
      </c>
      <c r="AB38" s="149">
        <v>1</v>
      </c>
      <c r="AC38" s="151" t="str">
        <f>($Y38*$AB38)/$AA38</f>
        <v>0</v>
      </c>
      <c r="AD38" s="151" t="str">
        <f>($Z38*$AB38)/$AA38</f>
        <v>0</v>
      </c>
      <c r="AE38" s="152" t="str">
        <f>$AG$47-1</f>
        <v>0</v>
      </c>
      <c r="AF38" s="201" t="str">
        <f>AO38</f>
        <v>0</v>
      </c>
      <c r="AG38" s="200" t="str">
        <f>(((IF(D38&lt;1000,0.1,1))/2)*$AC$30)/$AB$30</f>
        <v>0</v>
      </c>
      <c r="AH38" s="153" t="str">
        <f>SQRT(AF38^2+AG38^2+$AD$31^2+$AD$32^2+AC38^2+AD38^2)</f>
        <v>0</v>
      </c>
      <c r="AI38" s="267" t="str">
        <f>AH38*$AI$47</f>
        <v>0</v>
      </c>
      <c r="AM38" s="33">
        <v>100</v>
      </c>
      <c r="AN38" s="33">
        <v>0.02</v>
      </c>
      <c r="AO38" s="198" t="str">
        <f>(MAX(AP38:BC38)*$AC$29)/$AB$29</f>
        <v>0</v>
      </c>
      <c r="AP38" s="33" t="str">
        <f>IF(D38&lt;=$AM$35,$AN$35)</f>
        <v>0</v>
      </c>
      <c r="AQ38" s="33" t="str">
        <f>IF(AND(D38&gt;$AM$35,D38&lt;=$AM$36),$AN$36)</f>
        <v>0</v>
      </c>
      <c r="AR38" s="33" t="str">
        <f>IF(AND(D38&gt;$AM$36,D38&lt;=$AM$37),$AN$37)</f>
        <v>0</v>
      </c>
      <c r="AS38" s="33" t="str">
        <f>IF(AND(D38&gt;$AM$37,D38&lt;=$AM$38),$AN$38)</f>
        <v>0</v>
      </c>
      <c r="AT38" s="33" t="str">
        <f>IF(AND(D38&gt;$AM$38,D38&lt;=$AM$39),$AN$39)</f>
        <v>0</v>
      </c>
      <c r="AU38" s="33" t="str">
        <f>IF(AND(D38&gt;$AM$39,D38&lt;=$AM$40),$AN$40)</f>
        <v>0</v>
      </c>
      <c r="AV38" s="33" t="str">
        <f>IF(AND(D38&gt;$AM$40,D38&lt;=$AM$41),$AN$41)</f>
        <v>0</v>
      </c>
      <c r="AW38" s="33" t="str">
        <f>IF(AND(D38&gt;$AM$41,D38&lt;=$AM$42),$AN$42)</f>
        <v>0</v>
      </c>
      <c r="AX38" s="33" t="str">
        <f>IF(AND(D38&gt;$AM$42,D38&lt;=$AM$43),$AN$43)</f>
        <v>0</v>
      </c>
      <c r="AY38" s="33" t="str">
        <f>IF(AND(D38&gt;$AM$43,D38&lt;=$AM$44),$AN$44)</f>
        <v>0</v>
      </c>
      <c r="AZ38" s="33" t="str">
        <f>IF(AND(D38&gt;$AM$44,D38&lt;=$AM$45),$AN$45)</f>
        <v>0</v>
      </c>
      <c r="BA38" s="33" t="str">
        <f>IF(AND(D38&gt;$AM$45,D38&lt;=$AM$46),$AN$46)</f>
        <v>0</v>
      </c>
      <c r="BB38" s="33" t="str">
        <f>IF(AND(D38&gt;$AM$46,D38&lt;=$AM$47),$AN$47)</f>
        <v>0</v>
      </c>
      <c r="BC38" s="33" t="str">
        <f>IF(AND(D38&gt;$AM$47,D38&lt;=$AM$48),$AN$48)</f>
        <v>0</v>
      </c>
      <c r="BE38" s="269" t="str">
        <f>I38</f>
        <v>0</v>
      </c>
      <c r="BF38" s="269" t="str">
        <f>J38</f>
        <v>0</v>
      </c>
    </row>
    <row r="39" spans="1:58" customHeight="1" ht="15.75">
      <c r="B39" s="195"/>
      <c r="C39" s="293">
        <v>5</v>
      </c>
      <c r="D39" s="285" t="str">
        <f>Registro!B36</f>
        <v>0</v>
      </c>
      <c r="E39" s="273" t="str">
        <f>V39</f>
        <v>0</v>
      </c>
      <c r="F39" s="273" t="str">
        <f>Q39</f>
        <v>0</v>
      </c>
      <c r="G39" s="286" t="str">
        <f>Q39-V39</f>
        <v>0</v>
      </c>
      <c r="H39" s="294"/>
      <c r="I39" s="286" t="str">
        <f>AI39</f>
        <v>0</v>
      </c>
      <c r="J39" s="287" t="str">
        <f>I39/(MAX(D35:D45)-$D$35)*100</f>
        <v>0</v>
      </c>
      <c r="L39" s="145"/>
      <c r="N39" s="182" t="str">
        <f>Registro!G36</f>
        <v>0</v>
      </c>
      <c r="O39" s="143" t="str">
        <f>Registro!I36</f>
        <v>0</v>
      </c>
      <c r="P39" s="143" t="str">
        <f>Registro!K36</f>
        <v>0</v>
      </c>
      <c r="Q39" s="185" t="str">
        <f>AVERAGE(N39:P39)</f>
        <v>0</v>
      </c>
      <c r="R39" s="150"/>
      <c r="S39" s="182" t="str">
        <f>Registro!H36</f>
        <v>0</v>
      </c>
      <c r="T39" s="143" t="str">
        <f>Registro!J36</f>
        <v>0</v>
      </c>
      <c r="U39" s="143" t="str">
        <f>Registro!L36</f>
        <v>0</v>
      </c>
      <c r="V39" s="185" t="str">
        <f>AVERAGE(S39:U39)</f>
        <v>0</v>
      </c>
      <c r="X39" s="137" t="s">
        <v>143</v>
      </c>
      <c r="Y39" s="136" t="str">
        <f>STDEV(N39:P39)</f>
        <v>0</v>
      </c>
      <c r="Z39" s="136" t="str">
        <f>STDEV(S39:U39)</f>
        <v>0</v>
      </c>
      <c r="AA39" s="142" t="str">
        <f>SQRT($AG$47)</f>
        <v>0</v>
      </c>
      <c r="AB39" s="149">
        <v>1</v>
      </c>
      <c r="AC39" s="151" t="str">
        <f>($Y39*$AB39)/$AA39</f>
        <v>0</v>
      </c>
      <c r="AD39" s="151" t="str">
        <f>($Z39*$AB39)/$AA39</f>
        <v>0</v>
      </c>
      <c r="AE39" s="152" t="str">
        <f>$AG$47-1</f>
        <v>0</v>
      </c>
      <c r="AF39" s="201" t="str">
        <f>AO39</f>
        <v>0</v>
      </c>
      <c r="AG39" s="200" t="str">
        <f>(((IF(D39&lt;1000,0.1,1))/2)*$AC$30)/$AB$30</f>
        <v>0</v>
      </c>
      <c r="AH39" s="153" t="str">
        <f>SQRT(AF39^2+AG39^2+$AD$31^2+$AD$32^2+AC39^2+AD39^2)</f>
        <v>0</v>
      </c>
      <c r="AI39" s="267" t="str">
        <f>AH39*$AI$47</f>
        <v>0</v>
      </c>
      <c r="AM39" s="33">
        <v>500</v>
      </c>
      <c r="AN39" s="33">
        <v>0.02</v>
      </c>
      <c r="AO39" s="198" t="str">
        <f>(MAX(AP39:BC39)*$AC$29)/$AB$29</f>
        <v>0</v>
      </c>
      <c r="AP39" s="33" t="str">
        <f>IF(D39&lt;=$AM$35,$AN$35)</f>
        <v>0</v>
      </c>
      <c r="AQ39" s="33" t="str">
        <f>IF(AND(D39&gt;$AM$35,D39&lt;=$AM$36),$AN$36)</f>
        <v>0</v>
      </c>
      <c r="AR39" s="33" t="str">
        <f>IF(AND(D39&gt;$AM$36,D39&lt;=$AM$37),$AN$37)</f>
        <v>0</v>
      </c>
      <c r="AS39" s="33" t="str">
        <f>IF(AND(D39&gt;$AM$37,D39&lt;=$AM$38),$AN$38)</f>
        <v>0</v>
      </c>
      <c r="AT39" s="33" t="str">
        <f>IF(AND(D39&gt;$AM$38,D39&lt;=$AM$39),$AN$39)</f>
        <v>0</v>
      </c>
      <c r="AU39" s="33" t="str">
        <f>IF(AND(D39&gt;$AM$39,D39&lt;=$AM$40),$AN$40)</f>
        <v>0</v>
      </c>
      <c r="AV39" s="33" t="str">
        <f>IF(AND(D39&gt;$AM$40,D39&lt;=$AM$41),$AN$41)</f>
        <v>0</v>
      </c>
      <c r="AW39" s="33" t="str">
        <f>IF(AND(D39&gt;$AM$41,D39&lt;=$AM$42),$AN$42)</f>
        <v>0</v>
      </c>
      <c r="AX39" s="33" t="str">
        <f>IF(AND(D39&gt;$AM$42,D39&lt;=$AM$43),$AN$43)</f>
        <v>0</v>
      </c>
      <c r="AY39" s="33" t="str">
        <f>IF(AND(D39&gt;$AM$43,D39&lt;=$AM$44),$AN$44)</f>
        <v>0</v>
      </c>
      <c r="AZ39" s="33" t="str">
        <f>IF(AND(D39&gt;$AM$44,D39&lt;=$AM$45),$AN$45)</f>
        <v>0</v>
      </c>
      <c r="BA39" s="33" t="str">
        <f>IF(AND(D39&gt;$AM$45,D39&lt;=$AM$46),$AN$46)</f>
        <v>0</v>
      </c>
      <c r="BB39" s="33" t="str">
        <f>IF(AND(D39&gt;$AM$46,D39&lt;=$AM$47),$AN$47)</f>
        <v>0</v>
      </c>
      <c r="BC39" s="33" t="str">
        <f>IF(AND(D39&gt;$AM$47,D39&lt;=$AM$48),$AN$48)</f>
        <v>0</v>
      </c>
      <c r="BE39" s="269" t="str">
        <f>I39</f>
        <v>0</v>
      </c>
      <c r="BF39" s="269" t="str">
        <f>J39</f>
        <v>0</v>
      </c>
    </row>
    <row r="40" spans="1:58" customHeight="1" ht="15.75">
      <c r="B40" s="195"/>
      <c r="C40" s="293">
        <v>6</v>
      </c>
      <c r="D40" s="285" t="str">
        <f>Registro!B37</f>
        <v>0</v>
      </c>
      <c r="E40" s="273" t="str">
        <f>V40</f>
        <v>0</v>
      </c>
      <c r="F40" s="273" t="str">
        <f>Q40</f>
        <v>0</v>
      </c>
      <c r="G40" s="286" t="str">
        <f>Q40-V40</f>
        <v>0</v>
      </c>
      <c r="H40" s="294"/>
      <c r="I40" s="286" t="str">
        <f>AI40</f>
        <v>0</v>
      </c>
      <c r="J40" s="287" t="str">
        <f>I40/(MAX(D35:D45)-$D$35)*100</f>
        <v>0</v>
      </c>
      <c r="L40" s="145"/>
      <c r="N40" s="182" t="str">
        <f>Registro!G37</f>
        <v>0</v>
      </c>
      <c r="O40" s="143" t="str">
        <f>Registro!I37</f>
        <v>0</v>
      </c>
      <c r="P40" s="143" t="str">
        <f>Registro!K37</f>
        <v>0</v>
      </c>
      <c r="Q40" s="185" t="str">
        <f>AVERAGE(N40:P40)</f>
        <v>0</v>
      </c>
      <c r="R40" s="150"/>
      <c r="S40" s="182" t="str">
        <f>Registro!H37</f>
        <v>0</v>
      </c>
      <c r="T40" s="143" t="str">
        <f>Registro!J37</f>
        <v>0</v>
      </c>
      <c r="U40" s="143" t="str">
        <f>Registro!L37</f>
        <v>0</v>
      </c>
      <c r="V40" s="185" t="str">
        <f>AVERAGE(S40:U40)</f>
        <v>0</v>
      </c>
      <c r="X40" s="137" t="s">
        <v>144</v>
      </c>
      <c r="Y40" s="136" t="str">
        <f>STDEV(N40:P40)</f>
        <v>0</v>
      </c>
      <c r="Z40" s="136" t="str">
        <f>STDEV(S40:U40)</f>
        <v>0</v>
      </c>
      <c r="AA40" s="142" t="str">
        <f>SQRT($AG$47)</f>
        <v>0</v>
      </c>
      <c r="AB40" s="149">
        <v>1</v>
      </c>
      <c r="AC40" s="151" t="str">
        <f>($Y40*$AB40)/$AA40</f>
        <v>0</v>
      </c>
      <c r="AD40" s="151" t="str">
        <f>($Z40*$AB40)/$AA40</f>
        <v>0</v>
      </c>
      <c r="AE40" s="152" t="str">
        <f>$AG$47-1</f>
        <v>0</v>
      </c>
      <c r="AF40" s="201" t="str">
        <f>AO40</f>
        <v>0</v>
      </c>
      <c r="AG40" s="200" t="str">
        <f>(((IF(D40&lt;1000,0.1,1))/2)*$AC$30)/$AB$30</f>
        <v>0</v>
      </c>
      <c r="AH40" s="153" t="str">
        <f>SQRT(AF40^2+AG40^2+$AD$31^2+$AD$32^2+AC40^2+AD40^2)</f>
        <v>0</v>
      </c>
      <c r="AI40" s="267" t="str">
        <f>AH40*$AI$47</f>
        <v>0</v>
      </c>
      <c r="AM40" s="33">
        <v>1000</v>
      </c>
      <c r="AN40" s="33">
        <v>0.02</v>
      </c>
      <c r="AO40" s="198" t="str">
        <f>(MAX(AP40:BC40)*$AC$29)/$AB$29</f>
        <v>0</v>
      </c>
      <c r="AP40" s="33" t="str">
        <f>IF(D40&lt;=$AM$35,$AN$35)</f>
        <v>0</v>
      </c>
      <c r="AQ40" s="33" t="str">
        <f>IF(AND(D40&gt;$AM$35,D40&lt;=$AM$36),$AN$36)</f>
        <v>0</v>
      </c>
      <c r="AR40" s="33" t="str">
        <f>IF(AND(D40&gt;$AM$36,D40&lt;=$AM$37),$AN$37)</f>
        <v>0</v>
      </c>
      <c r="AS40" s="33" t="str">
        <f>IF(AND(D40&gt;$AM$37,D40&lt;=$AM$38),$AN$38)</f>
        <v>0</v>
      </c>
      <c r="AT40" s="33" t="str">
        <f>IF(AND(D40&gt;$AM$38,D40&lt;=$AM$39),$AN$39)</f>
        <v>0</v>
      </c>
      <c r="AU40" s="33" t="str">
        <f>IF(AND(D40&gt;$AM$39,D40&lt;=$AM$40),$AN$40)</f>
        <v>0</v>
      </c>
      <c r="AV40" s="33" t="str">
        <f>IF(AND(D40&gt;$AM$40,D40&lt;=$AM$41),$AN$41)</f>
        <v>0</v>
      </c>
      <c r="AW40" s="33" t="str">
        <f>IF(AND(D40&gt;$AM$41,D40&lt;=$AM$42),$AN$42)</f>
        <v>0</v>
      </c>
      <c r="AX40" s="33" t="str">
        <f>IF(AND(D40&gt;$AM$42,D40&lt;=$AM$43),$AN$43)</f>
        <v>0</v>
      </c>
      <c r="AY40" s="33" t="str">
        <f>IF(AND(D40&gt;$AM$43,D40&lt;=$AM$44),$AN$44)</f>
        <v>0</v>
      </c>
      <c r="AZ40" s="33" t="str">
        <f>IF(AND(D40&gt;$AM$44,D40&lt;=$AM$45),$AN$45)</f>
        <v>0</v>
      </c>
      <c r="BA40" s="33" t="str">
        <f>IF(AND(D40&gt;$AM$45,D40&lt;=$AM$46),$AN$46)</f>
        <v>0</v>
      </c>
      <c r="BB40" s="33" t="str">
        <f>IF(AND(D40&gt;$AM$46,D40&lt;=$AM$47),$AN$47)</f>
        <v>0</v>
      </c>
      <c r="BC40" s="33" t="str">
        <f>IF(AND(D40&gt;$AM$47,D40&lt;=$AM$48),$AN$48)</f>
        <v>0</v>
      </c>
      <c r="BE40" s="269" t="str">
        <f>I40</f>
        <v>0</v>
      </c>
      <c r="BF40" s="269" t="str">
        <f>J40</f>
        <v>0</v>
      </c>
    </row>
    <row r="41" spans="1:58" customHeight="1" ht="15.75">
      <c r="B41" s="195"/>
      <c r="C41" s="293">
        <v>7</v>
      </c>
      <c r="D41" s="285" t="str">
        <f>Registro!B38</f>
        <v>0</v>
      </c>
      <c r="E41" s="273" t="str">
        <f>V41</f>
        <v>0</v>
      </c>
      <c r="F41" s="273" t="str">
        <f>Q41</f>
        <v>0</v>
      </c>
      <c r="G41" s="286" t="str">
        <f>Q41-V41</f>
        <v>0</v>
      </c>
      <c r="H41" s="294"/>
      <c r="I41" s="286" t="str">
        <f>AI41</f>
        <v>0</v>
      </c>
      <c r="J41" s="287" t="str">
        <f>I41/(MAX(D35:D45)-$D$35)*100</f>
        <v>0</v>
      </c>
      <c r="L41" s="145"/>
      <c r="N41" s="182" t="str">
        <f>Registro!G38</f>
        <v>0</v>
      </c>
      <c r="O41" s="143" t="str">
        <f>Registro!I38</f>
        <v>0</v>
      </c>
      <c r="P41" s="143" t="str">
        <f>Registro!K38</f>
        <v>0</v>
      </c>
      <c r="Q41" s="185" t="str">
        <f>AVERAGE(N41:P41)</f>
        <v>0</v>
      </c>
      <c r="R41" s="150"/>
      <c r="S41" s="182" t="str">
        <f>Registro!H38</f>
        <v>0</v>
      </c>
      <c r="T41" s="143" t="str">
        <f>Registro!J38</f>
        <v>0</v>
      </c>
      <c r="U41" s="143" t="str">
        <f>Registro!L38</f>
        <v>0</v>
      </c>
      <c r="V41" s="185" t="str">
        <f>AVERAGE(S41:U41)</f>
        <v>0</v>
      </c>
      <c r="X41" s="137" t="s">
        <v>145</v>
      </c>
      <c r="Y41" s="136" t="str">
        <f>STDEV(N41:P41)</f>
        <v>0</v>
      </c>
      <c r="Z41" s="136" t="str">
        <f>STDEV(S41:U41)</f>
        <v>0</v>
      </c>
      <c r="AA41" s="142" t="str">
        <f>SQRT($AG$47)</f>
        <v>0</v>
      </c>
      <c r="AB41" s="149">
        <v>1</v>
      </c>
      <c r="AC41" s="151" t="str">
        <f>($Y41*$AB41)/$AA41</f>
        <v>0</v>
      </c>
      <c r="AD41" s="151" t="str">
        <f>($Z41*$AB41)/$AA41</f>
        <v>0</v>
      </c>
      <c r="AE41" s="152" t="str">
        <f>$AG$47-1</f>
        <v>0</v>
      </c>
      <c r="AF41" s="201" t="str">
        <f>AO41</f>
        <v>0</v>
      </c>
      <c r="AG41" s="200" t="str">
        <f>(((IF(D41&lt;1000,0.1,1))/2)*$AC$30)/$AB$30</f>
        <v>0</v>
      </c>
      <c r="AH41" s="153" t="str">
        <f>SQRT(AF41^2+AG41^2+$AD$31^2+$AD$32^2+AC41^2+AD41^2)</f>
        <v>0</v>
      </c>
      <c r="AI41" s="267" t="str">
        <f>AH41*$AI$47</f>
        <v>0</v>
      </c>
      <c r="AM41" s="33">
        <v>3000</v>
      </c>
      <c r="AN41" s="33">
        <v>0.04</v>
      </c>
      <c r="AO41" s="198" t="str">
        <f>(MAX(AP41:BC41)*$AC$29)/$AB$29</f>
        <v>0</v>
      </c>
      <c r="AP41" s="33" t="str">
        <f>IF(D41&lt;=$AM$35,$AN$35)</f>
        <v>0</v>
      </c>
      <c r="AQ41" s="33" t="str">
        <f>IF(AND(D41&gt;$AM$35,D41&lt;=$AM$36),$AN$36)</f>
        <v>0</v>
      </c>
      <c r="AR41" s="33" t="str">
        <f>IF(AND(D41&gt;$AM$36,D41&lt;=$AM$37),$AN$37)</f>
        <v>0</v>
      </c>
      <c r="AS41" s="33" t="str">
        <f>IF(AND(D41&gt;$AM$37,D41&lt;=$AM$38),$AN$38)</f>
        <v>0</v>
      </c>
      <c r="AT41" s="33" t="str">
        <f>IF(AND(D41&gt;$AM$38,D41&lt;=$AM$39),$AN$39)</f>
        <v>0</v>
      </c>
      <c r="AU41" s="33" t="str">
        <f>IF(AND(D41&gt;$AM$39,D41&lt;=$AM$40),$AN$40)</f>
        <v>0</v>
      </c>
      <c r="AV41" s="33" t="str">
        <f>IF(AND(D41&gt;$AM$40,D41&lt;=$AM$41),$AN$41)</f>
        <v>0</v>
      </c>
      <c r="AW41" s="33" t="str">
        <f>IF(AND(D41&gt;$AM$41,D41&lt;=$AM$42),$AN$42)</f>
        <v>0</v>
      </c>
      <c r="AX41" s="33" t="str">
        <f>IF(AND(D41&gt;$AM$42,D41&lt;=$AM$43),$AN$43)</f>
        <v>0</v>
      </c>
      <c r="AY41" s="33" t="str">
        <f>IF(AND(D41&gt;$AM$43,D41&lt;=$AM$44),$AN$44)</f>
        <v>0</v>
      </c>
      <c r="AZ41" s="33" t="str">
        <f>IF(AND(D41&gt;$AM$44,D41&lt;=$AM$45),$AN$45)</f>
        <v>0</v>
      </c>
      <c r="BA41" s="33" t="str">
        <f>IF(AND(D41&gt;$AM$45,D41&lt;=$AM$46),$AN$46)</f>
        <v>0</v>
      </c>
      <c r="BB41" s="33" t="str">
        <f>IF(AND(D41&gt;$AM$46,D41&lt;=$AM$47),$AN$47)</f>
        <v>0</v>
      </c>
      <c r="BC41" s="33" t="str">
        <f>IF(AND(D41&gt;$AM$47,D41&lt;=$AM$48),$AN$48)</f>
        <v>0</v>
      </c>
      <c r="BE41" s="269" t="str">
        <f>I41</f>
        <v>0</v>
      </c>
      <c r="BF41" s="269" t="str">
        <f>J41</f>
        <v>0</v>
      </c>
    </row>
    <row r="42" spans="1:58" customHeight="1" ht="15.75">
      <c r="B42" s="195"/>
      <c r="C42" s="293">
        <v>8</v>
      </c>
      <c r="D42" s="285" t="str">
        <f>Registro!B39</f>
        <v>0</v>
      </c>
      <c r="E42" s="273" t="str">
        <f>V42</f>
        <v>0</v>
      </c>
      <c r="F42" s="273" t="str">
        <f>Q42</f>
        <v>0</v>
      </c>
      <c r="G42" s="286" t="str">
        <f>Q42-V42</f>
        <v>0</v>
      </c>
      <c r="H42" s="294"/>
      <c r="I42" s="286" t="str">
        <f>AI42</f>
        <v>0</v>
      </c>
      <c r="J42" s="287" t="str">
        <f>I42/(MAX(D35:D45)-$D$35)*100</f>
        <v>0</v>
      </c>
      <c r="L42" s="145"/>
      <c r="N42" s="182" t="str">
        <f>Registro!G39</f>
        <v>0</v>
      </c>
      <c r="O42" s="143" t="str">
        <f>Registro!I39</f>
        <v>0</v>
      </c>
      <c r="P42" s="143" t="str">
        <f>Registro!K39</f>
        <v>0</v>
      </c>
      <c r="Q42" s="185" t="str">
        <f>AVERAGE(N42:P42)</f>
        <v>0</v>
      </c>
      <c r="R42" s="150"/>
      <c r="S42" s="182" t="str">
        <f>Registro!H39</f>
        <v>0</v>
      </c>
      <c r="T42" s="143" t="str">
        <f>Registro!J39</f>
        <v>0</v>
      </c>
      <c r="U42" s="143" t="str">
        <f>Registro!L39</f>
        <v>0</v>
      </c>
      <c r="V42" s="185" t="str">
        <f>AVERAGE(S42:U42)</f>
        <v>0</v>
      </c>
      <c r="X42" s="137" t="s">
        <v>146</v>
      </c>
      <c r="Y42" s="136" t="str">
        <f>STDEV(N42:P42)</f>
        <v>0</v>
      </c>
      <c r="Z42" s="136" t="str">
        <f>STDEV(S42:U42)</f>
        <v>0</v>
      </c>
      <c r="AA42" s="142" t="str">
        <f>SQRT($AG$47)</f>
        <v>0</v>
      </c>
      <c r="AB42" s="149">
        <v>1</v>
      </c>
      <c r="AC42" s="151" t="str">
        <f>($Y42*$AB42)/$AA42</f>
        <v>0</v>
      </c>
      <c r="AD42" s="151" t="str">
        <f>($Z42*$AB42)/$AA42</f>
        <v>0</v>
      </c>
      <c r="AE42" s="152" t="str">
        <f>$AG$47-1</f>
        <v>0</v>
      </c>
      <c r="AF42" s="201" t="str">
        <f>AO42</f>
        <v>0</v>
      </c>
      <c r="AG42" s="200" t="str">
        <f>(((IF(D42&lt;1000,0.1,1))/2)*$AC$30)/$AB$30</f>
        <v>0</v>
      </c>
      <c r="AH42" s="153" t="str">
        <f>SQRT(AF42^2+AG42^2+$AD$31^2+$AD$32^2+AC42^2+AD42^2)</f>
        <v>0</v>
      </c>
      <c r="AI42" s="267" t="str">
        <f>AH42*$AI$47</f>
        <v>0</v>
      </c>
      <c r="AM42" s="33">
        <v>9000</v>
      </c>
      <c r="AN42" s="33">
        <v>0.11</v>
      </c>
      <c r="AO42" s="198" t="str">
        <f>(MAX(AP42:BC42)*$AC$29)/$AB$29</f>
        <v>0</v>
      </c>
      <c r="AP42" s="33" t="str">
        <f>IF(D42&lt;=$AM$35,$AN$35)</f>
        <v>0</v>
      </c>
      <c r="AQ42" s="33" t="str">
        <f>IF(AND(D42&gt;$AM$35,D42&lt;=$AM$36),$AN$36)</f>
        <v>0</v>
      </c>
      <c r="AR42" s="33" t="str">
        <f>IF(AND(D42&gt;$AM$36,D42&lt;=$AM$37),$AN$37)</f>
        <v>0</v>
      </c>
      <c r="AS42" s="33" t="str">
        <f>IF(AND(D42&gt;$AM$37,D42&lt;=$AM$38),$AN$38)</f>
        <v>0</v>
      </c>
      <c r="AT42" s="33" t="str">
        <f>IF(AND(D42&gt;$AM$38,D42&lt;=$AM$39),$AN$39)</f>
        <v>0</v>
      </c>
      <c r="AU42" s="33" t="str">
        <f>IF(AND(D42&gt;$AM$39,D42&lt;=$AM$40),$AN$40)</f>
        <v>0</v>
      </c>
      <c r="AV42" s="33" t="str">
        <f>IF(AND(D42&gt;$AM$40,D42&lt;=$AM$41),$AN$41)</f>
        <v>0</v>
      </c>
      <c r="AW42" s="33" t="str">
        <f>IF(AND(D42&gt;$AM$41,D42&lt;=$AM$42),$AN$42)</f>
        <v>0</v>
      </c>
      <c r="AX42" s="33" t="str">
        <f>IF(AND(D42&gt;$AM$42,D42&lt;=$AM$43),$AN$43)</f>
        <v>0</v>
      </c>
      <c r="AY42" s="33" t="str">
        <f>IF(AND(D42&gt;$AM$43,D42&lt;=$AM$44),$AN$44)</f>
        <v>0</v>
      </c>
      <c r="AZ42" s="33" t="str">
        <f>IF(AND(D42&gt;$AM$44,D42&lt;=$AM$45),$AN$45)</f>
        <v>0</v>
      </c>
      <c r="BA42" s="33" t="str">
        <f>IF(AND(D42&gt;$AM$45,D42&lt;=$AM$46),$AN$46)</f>
        <v>0</v>
      </c>
      <c r="BB42" s="33" t="str">
        <f>IF(AND(D42&gt;$AM$46,D42&lt;=$AM$47),$AN$47)</f>
        <v>0</v>
      </c>
      <c r="BC42" s="33" t="str">
        <f>IF(AND(D42&gt;$AM$47,D42&lt;=$AM$48),$AN$48)</f>
        <v>0</v>
      </c>
      <c r="BE42" s="269" t="str">
        <f>I42</f>
        <v>0</v>
      </c>
      <c r="BF42" s="269" t="str">
        <f>J42</f>
        <v>0</v>
      </c>
    </row>
    <row r="43" spans="1:58" customHeight="1" ht="15.75">
      <c r="B43" s="195"/>
      <c r="C43" s="293">
        <v>9</v>
      </c>
      <c r="D43" s="285" t="str">
        <f>Registro!B40</f>
        <v>0</v>
      </c>
      <c r="E43" s="273" t="str">
        <f>V43</f>
        <v>0</v>
      </c>
      <c r="F43" s="273" t="str">
        <f>Q43</f>
        <v>0</v>
      </c>
      <c r="G43" s="286" t="str">
        <f>Q43-V43</f>
        <v>0</v>
      </c>
      <c r="H43" s="294"/>
      <c r="I43" s="286" t="str">
        <f>AI43</f>
        <v>0</v>
      </c>
      <c r="J43" s="287" t="str">
        <f>I43/(MAX(D35:D45)-$D$35)*100</f>
        <v>0</v>
      </c>
      <c r="L43" s="145"/>
      <c r="N43" s="182" t="str">
        <f>Registro!G40</f>
        <v>0</v>
      </c>
      <c r="O43" s="143" t="str">
        <f>Registro!I40</f>
        <v>0</v>
      </c>
      <c r="P43" s="143" t="str">
        <f>Registro!K40</f>
        <v>0</v>
      </c>
      <c r="Q43" s="185" t="str">
        <f>AVERAGE(N43:P43)</f>
        <v>0</v>
      </c>
      <c r="R43" s="150"/>
      <c r="S43" s="182" t="str">
        <f>Registro!H40</f>
        <v>0</v>
      </c>
      <c r="T43" s="143" t="str">
        <f>Registro!J40</f>
        <v>0</v>
      </c>
      <c r="U43" s="143" t="str">
        <f>Registro!L40</f>
        <v>0</v>
      </c>
      <c r="V43" s="185" t="str">
        <f>AVERAGE(S43:U43)</f>
        <v>0</v>
      </c>
      <c r="X43" s="137" t="s">
        <v>147</v>
      </c>
      <c r="Y43" s="136" t="str">
        <f>STDEV(N43:P43)</f>
        <v>0</v>
      </c>
      <c r="Z43" s="136" t="str">
        <f>STDEV(S43:U43)</f>
        <v>0</v>
      </c>
      <c r="AA43" s="142" t="str">
        <f>SQRT($AG$47)</f>
        <v>0</v>
      </c>
      <c r="AB43" s="149">
        <v>1</v>
      </c>
      <c r="AC43" s="151" t="str">
        <f>($Y43*$AB43)/$AA43</f>
        <v>0</v>
      </c>
      <c r="AD43" s="151" t="str">
        <f>($Z43*$AB43)/$AA43</f>
        <v>0</v>
      </c>
      <c r="AE43" s="152" t="str">
        <f>$AG$47-1</f>
        <v>0</v>
      </c>
      <c r="AF43" s="201" t="str">
        <f>AO43</f>
        <v>0</v>
      </c>
      <c r="AG43" s="200" t="str">
        <f>(((IF(D43&lt;1000,0.1,1))/2)*$AC$30)/$AB$30</f>
        <v>0</v>
      </c>
      <c r="AH43" s="153" t="str">
        <f>SQRT(AF43^2+AG43^2+$AD$31^2+$AD$32^2+AC43^2+AD43^2)</f>
        <v>0</v>
      </c>
      <c r="AI43" s="267" t="str">
        <f>AH43*$AI$47</f>
        <v>0</v>
      </c>
      <c r="AM43" s="33">
        <v>18000</v>
      </c>
      <c r="AN43" s="33">
        <v>0.25</v>
      </c>
      <c r="AO43" s="198" t="str">
        <f>(MAX(AP43:BC43)*$AC$29)/$AB$29</f>
        <v>0</v>
      </c>
      <c r="AP43" s="33" t="str">
        <f>IF(D43&lt;=$AM$35,$AN$35)</f>
        <v>0</v>
      </c>
      <c r="AQ43" s="33" t="str">
        <f>IF(AND(D43&gt;$AM$35,D43&lt;=$AM$36),$AN$36)</f>
        <v>0</v>
      </c>
      <c r="AR43" s="33" t="str">
        <f>IF(AND(D43&gt;$AM$36,D43&lt;=$AM$37),$AN$37)</f>
        <v>0</v>
      </c>
      <c r="AS43" s="33" t="str">
        <f>IF(AND(D43&gt;$AM$37,D43&lt;=$AM$38),$AN$38)</f>
        <v>0</v>
      </c>
      <c r="AT43" s="33" t="str">
        <f>IF(AND(D43&gt;$AM$38,D43&lt;=$AM$39),$AN$39)</f>
        <v>0</v>
      </c>
      <c r="AU43" s="33" t="str">
        <f>IF(AND(D43&gt;$AM$39,D43&lt;=$AM$40),$AN$40)</f>
        <v>0</v>
      </c>
      <c r="AV43" s="33" t="str">
        <f>IF(AND(D43&gt;$AM$40,D43&lt;=$AM$41),$AN$41)</f>
        <v>0</v>
      </c>
      <c r="AW43" s="33" t="str">
        <f>IF(AND(D43&gt;$AM$41,D43&lt;=$AM$42),$AN$42)</f>
        <v>0</v>
      </c>
      <c r="AX43" s="33" t="str">
        <f>IF(AND(D43&gt;$AM$42,D43&lt;=$AM$43),$AN$43)</f>
        <v>0</v>
      </c>
      <c r="AY43" s="33" t="str">
        <f>IF(AND(D43&gt;$AM$43,D43&lt;=$AM$44),$AN$44)</f>
        <v>0</v>
      </c>
      <c r="AZ43" s="33" t="str">
        <f>IF(AND(D43&gt;$AM$44,D43&lt;=$AM$45),$AN$45)</f>
        <v>0</v>
      </c>
      <c r="BA43" s="33" t="str">
        <f>IF(AND(D43&gt;$AM$45,D43&lt;=$AM$46),$AN$46)</f>
        <v>0</v>
      </c>
      <c r="BB43" s="33" t="str">
        <f>IF(AND(D43&gt;$AM$46,D43&lt;=$AM$47),$AN$47)</f>
        <v>0</v>
      </c>
      <c r="BC43" s="33" t="str">
        <f>IF(AND(D43&gt;$AM$47,D43&lt;=$AM$48),$AN$48)</f>
        <v>0</v>
      </c>
      <c r="BE43" s="269" t="str">
        <f>I43</f>
        <v>0</v>
      </c>
      <c r="BF43" s="269" t="str">
        <f>J43</f>
        <v>0</v>
      </c>
    </row>
    <row r="44" spans="1:58" customHeight="1" ht="15.75">
      <c r="B44" s="195"/>
      <c r="C44" s="293">
        <v>10</v>
      </c>
      <c r="D44" s="285" t="str">
        <f>Registro!B41</f>
        <v>0</v>
      </c>
      <c r="E44" s="273" t="str">
        <f>V44</f>
        <v>0</v>
      </c>
      <c r="F44" s="273" t="str">
        <f>Q44</f>
        <v>0</v>
      </c>
      <c r="G44" s="286" t="str">
        <f>Q44-V44</f>
        <v>0</v>
      </c>
      <c r="H44" s="294"/>
      <c r="I44" s="286" t="str">
        <f>AI44</f>
        <v>0</v>
      </c>
      <c r="J44" s="287" t="str">
        <f>I44/(MAX(D35:D45)-$D$35)*100</f>
        <v>0</v>
      </c>
      <c r="L44" s="145"/>
      <c r="N44" s="182" t="str">
        <f>Registro!G41</f>
        <v>0</v>
      </c>
      <c r="O44" s="143" t="str">
        <f>Registro!I41</f>
        <v>0</v>
      </c>
      <c r="P44" s="143" t="str">
        <f>Registro!K41</f>
        <v>0</v>
      </c>
      <c r="Q44" s="185" t="str">
        <f>AVERAGE(N44:P44)</f>
        <v>0</v>
      </c>
      <c r="R44" s="150"/>
      <c r="S44" s="182" t="str">
        <f>Registro!H41</f>
        <v>0</v>
      </c>
      <c r="T44" s="143" t="str">
        <f>Registro!J41</f>
        <v>0</v>
      </c>
      <c r="U44" s="143" t="str">
        <f>Registro!L41</f>
        <v>0</v>
      </c>
      <c r="V44" s="185" t="str">
        <f>AVERAGE(S44:U44)</f>
        <v>0</v>
      </c>
      <c r="X44" s="137" t="s">
        <v>148</v>
      </c>
      <c r="Y44" s="136" t="str">
        <f>STDEV(N44:P44)</f>
        <v>0</v>
      </c>
      <c r="Z44" s="136" t="str">
        <f>STDEV(S44:U44)</f>
        <v>0</v>
      </c>
      <c r="AA44" s="142" t="str">
        <f>SQRT($AG$47)</f>
        <v>0</v>
      </c>
      <c r="AB44" s="149">
        <v>1</v>
      </c>
      <c r="AC44" s="151" t="str">
        <f>($Y44*$AB44)/$AA44</f>
        <v>0</v>
      </c>
      <c r="AD44" s="151" t="str">
        <f>($Z44*$AB44)/$AA44</f>
        <v>0</v>
      </c>
      <c r="AE44" s="152" t="str">
        <f>$AG$47-1</f>
        <v>0</v>
      </c>
      <c r="AF44" s="201" t="str">
        <f>AO44</f>
        <v>0</v>
      </c>
      <c r="AG44" s="200" t="str">
        <f>(((IF(D44&lt;1000,0.1,1))/2)*$AC$30)/$AB$30</f>
        <v>0</v>
      </c>
      <c r="AH44" s="153" t="str">
        <f>SQRT(AF44^2+AG44^2+$AD$31^2+$AD$32^2+AC44^2+AD44^2)</f>
        <v>0</v>
      </c>
      <c r="AI44" s="267" t="str">
        <f>AH44*$AI$47</f>
        <v>0</v>
      </c>
      <c r="AM44" s="33">
        <v>30000</v>
      </c>
      <c r="AN44" s="33">
        <v>0.4</v>
      </c>
      <c r="AO44" s="198" t="str">
        <f>(MAX(AP44:BC44)*$AC$29)/$AB$29</f>
        <v>0</v>
      </c>
      <c r="AP44" s="33" t="str">
        <f>IF(D44&lt;=$AM$35,$AN$35)</f>
        <v>0</v>
      </c>
      <c r="AQ44" s="33" t="str">
        <f>IF(AND(D44&gt;$AM$35,D44&lt;=$AM$36),$AN$36)</f>
        <v>0</v>
      </c>
      <c r="AR44" s="33" t="str">
        <f>IF(AND(D44&gt;$AM$36,D44&lt;=$AM$37),$AN$37)</f>
        <v>0</v>
      </c>
      <c r="AS44" s="33" t="str">
        <f>IF(AND(D44&gt;$AM$37,D44&lt;=$AM$38),$AN$38)</f>
        <v>0</v>
      </c>
      <c r="AT44" s="33" t="str">
        <f>IF(AND(D44&gt;$AM$38,D44&lt;=$AM$39),$AN$39)</f>
        <v>0</v>
      </c>
      <c r="AU44" s="33" t="str">
        <f>IF(AND(D44&gt;$AM$39,D44&lt;=$AM$40),$AN$40)</f>
        <v>0</v>
      </c>
      <c r="AV44" s="33" t="str">
        <f>IF(AND(D44&gt;$AM$40,D44&lt;=$AM$41),$AN$41)</f>
        <v>0</v>
      </c>
      <c r="AW44" s="33" t="str">
        <f>IF(AND(D44&gt;$AM$41,D44&lt;=$AM$42),$AN$42)</f>
        <v>0</v>
      </c>
      <c r="AX44" s="33" t="str">
        <f>IF(AND(D44&gt;$AM$42,D44&lt;=$AM$43),$AN$43)</f>
        <v>0</v>
      </c>
      <c r="AY44" s="33" t="str">
        <f>IF(AND(D44&gt;$AM$43,D44&lt;=$AM$44),$AN$44)</f>
        <v>0</v>
      </c>
      <c r="AZ44" s="33" t="str">
        <f>IF(AND(D44&gt;$AM$44,D44&lt;=$AM$45),$AN$45)</f>
        <v>0</v>
      </c>
      <c r="BA44" s="33" t="str">
        <f>IF(AND(D44&gt;$AM$45,D44&lt;=$AM$46),$AN$46)</f>
        <v>0</v>
      </c>
      <c r="BB44" s="33" t="str">
        <f>IF(AND(D44&gt;$AM$46,D44&lt;=$AM$47),$AN$47)</f>
        <v>0</v>
      </c>
      <c r="BC44" s="33" t="str">
        <f>IF(AND(D44&gt;$AM$47,D44&lt;=$AM$48),$AN$48)</f>
        <v>0</v>
      </c>
      <c r="BE44" s="269" t="str">
        <f>I44</f>
        <v>0</v>
      </c>
      <c r="BF44" s="269" t="str">
        <f>J44</f>
        <v>0</v>
      </c>
    </row>
    <row r="45" spans="1:58" customHeight="1" ht="15.75">
      <c r="B45" s="195"/>
      <c r="C45" s="293">
        <v>11</v>
      </c>
      <c r="D45" s="288" t="str">
        <f>Registro!B42</f>
        <v>0</v>
      </c>
      <c r="E45" s="289" t="str">
        <f>V45</f>
        <v>0</v>
      </c>
      <c r="F45" s="289" t="str">
        <f>Q45</f>
        <v>0</v>
      </c>
      <c r="G45" s="290" t="str">
        <f>Q45-V45</f>
        <v>0</v>
      </c>
      <c r="H45" s="295"/>
      <c r="I45" s="290" t="str">
        <f>AI45</f>
        <v>0</v>
      </c>
      <c r="J45" s="291" t="str">
        <f>I45/(MAX(D35:D45)-$D$35)*100</f>
        <v>0</v>
      </c>
      <c r="L45" s="145"/>
      <c r="N45" s="183" t="str">
        <f>Registro!G42</f>
        <v>0</v>
      </c>
      <c r="O45" s="184" t="str">
        <f>Registro!I42</f>
        <v>0</v>
      </c>
      <c r="P45" s="184" t="str">
        <f>Registro!K42</f>
        <v>0</v>
      </c>
      <c r="Q45" s="186" t="str">
        <f>AVERAGE(N45:P45)</f>
        <v>0</v>
      </c>
      <c r="R45" s="150"/>
      <c r="S45" s="183" t="str">
        <f>Registro!H42</f>
        <v>0</v>
      </c>
      <c r="T45" s="184" t="str">
        <f>Registro!J42</f>
        <v>0</v>
      </c>
      <c r="U45" s="184" t="str">
        <f>Registro!L42</f>
        <v>0</v>
      </c>
      <c r="V45" s="186" t="str">
        <f>AVERAGE(S45:U45)</f>
        <v>0</v>
      </c>
      <c r="X45" s="137" t="s">
        <v>149</v>
      </c>
      <c r="Y45" s="136" t="str">
        <f>STDEV(N45:P45)</f>
        <v>0</v>
      </c>
      <c r="Z45" s="136" t="str">
        <f>STDEV(S45:U45)</f>
        <v>0</v>
      </c>
      <c r="AA45" s="142" t="str">
        <f>SQRT($AG$47)</f>
        <v>0</v>
      </c>
      <c r="AB45" s="149">
        <v>1</v>
      </c>
      <c r="AC45" s="151" t="str">
        <f>($Y45*$AB45)/$AA45</f>
        <v>0</v>
      </c>
      <c r="AD45" s="151" t="str">
        <f>($Z45*$AB45)/$AA45</f>
        <v>0</v>
      </c>
      <c r="AE45" s="152" t="str">
        <f>$AG$47-1</f>
        <v>0</v>
      </c>
      <c r="AF45" s="201" t="str">
        <f>AO45</f>
        <v>0</v>
      </c>
      <c r="AG45" s="200" t="str">
        <f>(((IF(D45&lt;1000,0.1,1))/2)*$AC$30)/$AB$30</f>
        <v>0</v>
      </c>
      <c r="AH45" s="153" t="str">
        <f>SQRT(AF45^2+AG45^2+$AD$31^2+$AD$32^2+AC45^2+AD45^2)</f>
        <v>0</v>
      </c>
      <c r="AI45" s="267" t="str">
        <f>AH45*$AI$47</f>
        <v>0</v>
      </c>
      <c r="AM45" s="33">
        <v>50000</v>
      </c>
      <c r="AN45" s="33">
        <v>0.7</v>
      </c>
      <c r="AO45" s="199" t="str">
        <f>(MAX(AP45:BC45)*$AC$29)/$AB$29</f>
        <v>0</v>
      </c>
      <c r="AP45" s="33" t="str">
        <f>IF(D45&lt;=$AM$35,$AN$35)</f>
        <v>0</v>
      </c>
      <c r="AQ45" s="33" t="str">
        <f>IF(AND(D45&gt;$AM$35,D45&lt;=$AM$36),$AN$36)</f>
        <v>0</v>
      </c>
      <c r="AR45" s="33" t="str">
        <f>IF(AND(D45&gt;$AM$36,D45&lt;=$AM$37),$AN$37)</f>
        <v>0</v>
      </c>
      <c r="AS45" s="33" t="str">
        <f>IF(AND(D45&gt;$AM$37,D45&lt;=$AM$38),$AN$38)</f>
        <v>0</v>
      </c>
      <c r="AT45" s="33" t="str">
        <f>IF(AND(D45&gt;$AM$38,D45&lt;=$AM$39),$AN$39)</f>
        <v>0</v>
      </c>
      <c r="AU45" s="33" t="str">
        <f>IF(AND(D45&gt;$AM$39,D45&lt;=$AM$40),$AN$40)</f>
        <v>0</v>
      </c>
      <c r="AV45" s="33" t="str">
        <f>IF(AND(D45&gt;$AM$40,D45&lt;=$AM$41),$AN$41)</f>
        <v>0</v>
      </c>
      <c r="AW45" s="33" t="str">
        <f>IF(AND(D45&gt;$AM$41,D45&lt;=$AM$42),$AN$42)</f>
        <v>0</v>
      </c>
      <c r="AX45" s="33" t="str">
        <f>IF(AND(D45&gt;$AM$42,D45&lt;=$AM$43),$AN$43)</f>
        <v>0</v>
      </c>
      <c r="AY45" s="33" t="str">
        <f>IF(AND(D45&gt;$AM$43,D45&lt;=$AM$44),$AN$44)</f>
        <v>0</v>
      </c>
      <c r="AZ45" s="33" t="str">
        <f>IF(AND(D45&gt;$AM$44,D45&lt;=$AM$45),$AN$45)</f>
        <v>0</v>
      </c>
      <c r="BA45" s="33" t="str">
        <f>IF(AND(D45&gt;$AM$45,D45&lt;=$AM$46),$AN$46)</f>
        <v>0</v>
      </c>
      <c r="BB45" s="33" t="str">
        <f>IF(AND(D45&gt;$AM$46,D45&lt;=$AM$47),$AN$47)</f>
        <v>0</v>
      </c>
      <c r="BC45" s="33" t="str">
        <f>IF(AND(D45&gt;$AM$47,D45&lt;=$AM$48),$AN$48)</f>
        <v>0</v>
      </c>
      <c r="BE45" s="269" t="str">
        <f>I45</f>
        <v>0</v>
      </c>
      <c r="BF45" s="269" t="str">
        <f>J45</f>
        <v>0</v>
      </c>
    </row>
    <row r="46" spans="1:58" customHeight="1" ht="15.75">
      <c r="B46" s="213"/>
      <c r="C46" s="214"/>
      <c r="D46" s="215"/>
      <c r="E46" s="216"/>
      <c r="F46" s="215"/>
      <c r="G46" s="215"/>
      <c r="H46" s="215"/>
      <c r="I46" s="215"/>
      <c r="J46" s="215"/>
      <c r="K46" s="215"/>
      <c r="L46" s="216"/>
      <c r="M46" s="154"/>
      <c r="R46" s="150"/>
      <c r="AM46" s="33">
        <v>70000</v>
      </c>
      <c r="AN46" s="33">
        <v>0.9</v>
      </c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</row>
    <row r="47" spans="1:58" customHeight="1" ht="14.1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AF47" s="149" t="s">
        <v>150</v>
      </c>
      <c r="AG47" s="155">
        <v>3</v>
      </c>
      <c r="AH47" s="149" t="s">
        <v>151</v>
      </c>
      <c r="AI47" s="152">
        <v>2</v>
      </c>
      <c r="AM47" s="33">
        <v>80000</v>
      </c>
      <c r="AN47" s="33">
        <v>1.1</v>
      </c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</row>
    <row r="48" spans="1:58" customHeight="1" ht="15">
      <c r="B48" s="409" t="s">
        <v>152</v>
      </c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140"/>
      <c r="N48" s="140"/>
      <c r="O48" s="140"/>
      <c r="AM48" s="33">
        <v>99999</v>
      </c>
      <c r="AN48" s="33">
        <v>1.4</v>
      </c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</row>
    <row r="49" spans="1:58" customHeight="1" ht="12">
      <c r="B49" s="156" t="s">
        <v>153</v>
      </c>
      <c r="C49" s="50"/>
      <c r="D49" s="50"/>
      <c r="E49" s="50"/>
      <c r="F49" s="50"/>
      <c r="G49" s="50"/>
      <c r="H49" s="50"/>
      <c r="I49" s="50"/>
      <c r="J49" s="36" t="str">
        <f>I22</f>
        <v>0</v>
      </c>
      <c r="N49" s="62"/>
      <c r="O49" s="62"/>
    </row>
    <row r="50" spans="1:58" customHeight="1" ht="12">
      <c r="B50" s="156" t="s">
        <v>74</v>
      </c>
      <c r="C50" s="50"/>
      <c r="D50" s="50"/>
      <c r="E50" s="50"/>
      <c r="F50" s="50"/>
      <c r="G50" s="50"/>
      <c r="H50" s="50"/>
      <c r="I50" s="50"/>
      <c r="J50" s="50"/>
      <c r="K50" s="50"/>
      <c r="L50" s="36"/>
      <c r="N50" s="62"/>
      <c r="O50" s="62"/>
    </row>
    <row r="51" spans="1:58" customHeight="1" ht="12">
      <c r="B51" s="157" t="s">
        <v>75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2"/>
      <c r="O51" s="62"/>
    </row>
    <row r="52" spans="1:58" customHeight="1" ht="12">
      <c r="B52" s="158" t="s">
        <v>76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</row>
    <row r="53" spans="1:58" customHeight="1" ht="10.5">
      <c r="B53" s="160" t="s">
        <v>78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58" customHeight="1" ht="12">
      <c r="B54" s="157" t="s">
        <v>77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5"/>
      <c r="O54" s="95"/>
    </row>
    <row r="55" spans="1:58" customHeight="1" ht="12">
      <c r="B55" s="157" t="s">
        <v>79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5"/>
      <c r="O55" s="95"/>
    </row>
    <row r="56" spans="1:58" customHeight="1" ht="12">
      <c r="B56" s="158" t="s">
        <v>80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5"/>
      <c r="O56" s="95"/>
    </row>
    <row r="57" spans="1:58" customHeight="1" ht="12">
      <c r="B57" s="158" t="s">
        <v>154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5"/>
      <c r="O57" s="95"/>
    </row>
    <row r="58" spans="1:58" customHeight="1" ht="12">
      <c r="B58" s="158" t="s">
        <v>155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95"/>
      <c r="O58" s="95"/>
    </row>
    <row r="59" spans="1:58" customHeight="1" ht="7.5">
      <c r="B59" s="212"/>
      <c r="C59" s="212"/>
      <c r="D59" s="212"/>
      <c r="E59" s="212"/>
      <c r="F59" s="212"/>
      <c r="G59" s="212"/>
      <c r="H59" s="212"/>
      <c r="I59" s="233"/>
      <c r="J59" s="233"/>
      <c r="K59" s="233"/>
      <c r="L59" s="233"/>
      <c r="M59" s="92"/>
      <c r="N59" s="95"/>
      <c r="O59" s="95"/>
    </row>
    <row r="60" spans="1:58" customHeight="1" ht="15.75">
      <c r="B60" s="409" t="s">
        <v>156</v>
      </c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140"/>
      <c r="N60" s="140"/>
      <c r="O60" s="140"/>
    </row>
    <row r="61" spans="1:58" customHeight="1" ht="12.75">
      <c r="B61" s="26" t="str">
        <f>IF(Registro!A55&lt;&gt;"",Registro!A55,"")</f>
        <v>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58" customHeight="1" ht="12.75">
      <c r="B62" s="26" t="str">
        <f>IF(Registro!A56&lt;&gt;"",Registro!A56,"")</f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58" customHeight="1" ht="12.75">
      <c r="B63" s="234" t="str">
        <f>IF(Registro!A57&lt;&gt;"",Registro!A57,"")</f>
        <v>0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6"/>
      <c r="N63" s="26"/>
      <c r="O63" s="26"/>
    </row>
    <row r="64" spans="1:58" customHeight="1" ht="11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58" customHeight="1" ht="10.5">
      <c r="B65" s="161" t="s">
        <v>157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58" customHeight="1" ht="10.5">
      <c r="B66" s="161" t="s">
        <v>158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58" customHeight="1" ht="24.75">
      <c r="B67" s="318"/>
      <c r="C67" s="318"/>
      <c r="D67" s="318"/>
      <c r="E67" s="318"/>
      <c r="F67" s="318"/>
      <c r="G67" s="318"/>
      <c r="J67" s="318"/>
      <c r="K67" s="318"/>
      <c r="M67" s="318"/>
      <c r="N67" s="10"/>
      <c r="O67" s="10"/>
    </row>
    <row r="68" spans="1:58" customHeight="1" ht="4.5">
      <c r="B68" s="318"/>
      <c r="C68" s="403" t="s">
        <v>159</v>
      </c>
      <c r="D68" s="403"/>
      <c r="E68" s="403"/>
      <c r="F68" s="403"/>
      <c r="G68" s="318"/>
      <c r="I68" s="188"/>
      <c r="J68" s="188"/>
      <c r="K68" s="188"/>
      <c r="L68" s="188"/>
      <c r="M68" s="318"/>
      <c r="N68" s="10"/>
      <c r="O68" s="10"/>
    </row>
    <row r="69" spans="1:58" customHeight="1" ht="8.25">
      <c r="B69" s="318"/>
      <c r="C69" s="403"/>
      <c r="D69" s="403"/>
      <c r="E69" s="403"/>
      <c r="F69" s="403"/>
      <c r="G69" s="318"/>
      <c r="H69" s="162"/>
      <c r="I69" s="235"/>
      <c r="J69" s="235"/>
      <c r="K69" s="235"/>
      <c r="L69" s="188"/>
      <c r="M69" s="318"/>
      <c r="N69" s="10"/>
      <c r="O69" s="10"/>
    </row>
    <row r="70" spans="1:58" customHeight="1" ht="3.75">
      <c r="B70" s="10"/>
      <c r="C70" s="10"/>
      <c r="D70" s="10"/>
      <c r="E70" s="10"/>
      <c r="F70" s="10"/>
      <c r="G70" s="10"/>
      <c r="I70" s="163"/>
      <c r="J70" s="163"/>
      <c r="K70" s="163"/>
      <c r="L70" s="163"/>
      <c r="M70" s="10"/>
      <c r="N70" s="10"/>
      <c r="O70" s="10"/>
    </row>
    <row r="71" spans="1:58" customHeight="1" ht="11.45">
      <c r="B71" s="33"/>
      <c r="C71" s="72" t="s">
        <v>160</v>
      </c>
      <c r="D71" s="402" t="str">
        <f>Registro!C59</f>
        <v>0</v>
      </c>
      <c r="E71" s="402"/>
      <c r="F71" s="402"/>
      <c r="G71" s="33"/>
      <c r="H71" s="163"/>
      <c r="I71" s="414" t="s">
        <v>161</v>
      </c>
      <c r="J71" s="414"/>
      <c r="K71" s="414"/>
      <c r="L71" s="189"/>
      <c r="M71" s="33"/>
      <c r="N71" s="33"/>
      <c r="O71" s="33"/>
      <c r="P71" s="10"/>
      <c r="Q71" s="10"/>
      <c r="R71" s="10"/>
      <c r="S71" s="10"/>
      <c r="T71" s="10"/>
      <c r="U71" s="10"/>
      <c r="V71" s="10"/>
      <c r="W71" s="10"/>
    </row>
    <row r="72" spans="1:58" customHeight="1" ht="14.1">
      <c r="B72" s="164"/>
      <c r="C72" s="164"/>
      <c r="D72" s="164"/>
      <c r="E72" s="164"/>
      <c r="F72" s="164"/>
      <c r="G72" s="164"/>
      <c r="H72" s="164"/>
      <c r="I72" s="401" t="s">
        <v>162</v>
      </c>
      <c r="J72" s="401"/>
      <c r="K72" s="401"/>
      <c r="L72" s="81"/>
      <c r="N72" s="165"/>
    </row>
    <row r="73" spans="1:58" customHeight="1" ht="9.75"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N73" s="165"/>
      <c r="O73" s="165"/>
    </row>
    <row r="74" spans="1:58" customHeight="1" ht="12.75">
      <c r="B74" s="396" t="s">
        <v>163</v>
      </c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114"/>
    </row>
    <row r="75" spans="1:58" customHeight="1" ht="15">
      <c r="C75" s="397" t="s">
        <v>164</v>
      </c>
      <c r="D75" s="397"/>
      <c r="E75" s="397"/>
      <c r="F75" s="397"/>
      <c r="G75" s="397"/>
      <c r="H75" s="397"/>
      <c r="I75" s="397"/>
      <c r="J75" s="397"/>
      <c r="K75" s="397"/>
      <c r="L75" s="165" t="str">
        <f>Registro!L60</f>
        <v>0</v>
      </c>
      <c r="M75" s="166"/>
    </row>
    <row r="76" spans="1:58" customHeight="1" ht="10.5"/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28:F29"/>
    <mergeCell ref="Y31:Z31"/>
    <mergeCell ref="M67:M69"/>
    <mergeCell ref="C67:F67"/>
    <mergeCell ref="I71:K71"/>
    <mergeCell ref="B60:L60"/>
    <mergeCell ref="B31:C31"/>
    <mergeCell ref="B48:L48"/>
    <mergeCell ref="Y32:Z32"/>
    <mergeCell ref="S33:V33"/>
    <mergeCell ref="N33:Q33"/>
    <mergeCell ref="E13:F13"/>
    <mergeCell ref="B74:L74"/>
    <mergeCell ref="C75:K75"/>
    <mergeCell ref="C21:D21"/>
    <mergeCell ref="C22:D22"/>
    <mergeCell ref="F22:G22"/>
    <mergeCell ref="I72:K72"/>
    <mergeCell ref="D71:F71"/>
    <mergeCell ref="B67:B69"/>
    <mergeCell ref="G67:G69"/>
    <mergeCell ref="J67:K67"/>
    <mergeCell ref="C68:F69"/>
    <mergeCell ref="B28:D29"/>
    <mergeCell ref="D30:K30"/>
    <mergeCell ref="I33:J33"/>
    <mergeCell ref="G31:K31"/>
    <mergeCell ref="I28:J29"/>
    <mergeCell ref="E32:F32"/>
    <mergeCell ref="C26:D26"/>
    <mergeCell ref="C25:D25"/>
    <mergeCell ref="M2:M9"/>
    <mergeCell ref="E2:J2"/>
    <mergeCell ref="B24:L24"/>
    <mergeCell ref="C20:D20"/>
    <mergeCell ref="H20:I20"/>
    <mergeCell ref="B19:L19"/>
    <mergeCell ref="B1:C3"/>
    <mergeCell ref="B5:K5"/>
    <mergeCell ref="B9:F9"/>
    <mergeCell ref="H9:I9"/>
    <mergeCell ref="C11:I11"/>
    <mergeCell ref="C13:D13"/>
  </mergeCells>
  <printOptions gridLines="false" gridLinesSet="true" horizontalCentered="true" verticalCentered="true"/>
  <pageMargins left="0" right="0" top="0" bottom="0" header="0" footer="0"/>
  <pageSetup paperSize="9" orientation="portrait" scale="81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8"/>
  <sheetViews>
    <sheetView tabSelected="0" workbookViewId="0" showGridLines="true" showRowColHeaders="1">
      <selection activeCell="A1" sqref="A1"/>
    </sheetView>
  </sheetViews>
  <sheetFormatPr customHeight="true" defaultRowHeight="12.75" outlineLevelRow="0" outlineLevelCol="0"/>
  <cols>
    <col min="1" max="1" width="8.7109375" customWidth="true" style="206"/>
    <col min="2" max="2" width="8.7109375" customWidth="true" style="206"/>
    <col min="3" max="3" width="8.7109375" customWidth="true" style="206"/>
    <col min="4" max="4" width="8.7109375" customWidth="true" style="206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</cols>
  <sheetData>
    <row r="1" spans="1:12" customHeight="1" ht="12.75">
      <c r="A1" s="210" t="s">
        <v>165</v>
      </c>
      <c r="B1" s="207">
        <v>2014</v>
      </c>
      <c r="C1" s="207">
        <v>2016</v>
      </c>
      <c r="D1" s="206" t="s">
        <v>166</v>
      </c>
    </row>
    <row r="2" spans="1:12" customHeight="1" ht="12.75">
      <c r="A2" s="208">
        <v>600</v>
      </c>
      <c r="B2" s="209">
        <v>599.9929</v>
      </c>
      <c r="C2" s="209">
        <v>599.991608</v>
      </c>
      <c r="D2" s="204" t="str">
        <f>ABS(C2-B2)</f>
        <v>0</v>
      </c>
    </row>
    <row r="3" spans="1:12" customHeight="1" ht="12.75">
      <c r="A3" s="208">
        <v>1200</v>
      </c>
      <c r="B3" s="209">
        <v>1199.988</v>
      </c>
      <c r="C3" s="209">
        <v>1199.986907</v>
      </c>
      <c r="D3" s="204" t="str">
        <f>ABS(C3-B3)</f>
        <v>0</v>
      </c>
    </row>
    <row r="4" spans="1:12" customHeight="1" ht="12.75">
      <c r="A4" s="208">
        <v>2400</v>
      </c>
      <c r="B4" s="209">
        <v>2399.979</v>
      </c>
      <c r="C4" s="209">
        <v>2399.976371</v>
      </c>
      <c r="D4" s="204" t="str">
        <f>ABS(C4-B4)</f>
        <v>0</v>
      </c>
    </row>
    <row r="5" spans="1:12" customHeight="1" ht="12.75">
      <c r="A5" s="208">
        <v>4800</v>
      </c>
      <c r="B5" s="209">
        <v>4799.92</v>
      </c>
      <c r="C5" s="209">
        <v>4799.940368</v>
      </c>
      <c r="D5" s="204" t="str">
        <f>ABS(C5-B5)</f>
        <v>0</v>
      </c>
    </row>
    <row r="6" spans="1:12" customHeight="1" ht="12.75">
      <c r="A6" s="208">
        <v>6000</v>
      </c>
      <c r="B6" s="209">
        <v>5999.918</v>
      </c>
      <c r="C6" s="209">
        <v>5999.940302</v>
      </c>
      <c r="D6" s="204" t="str">
        <f>ABS(C6-B6)</f>
        <v>0</v>
      </c>
    </row>
    <row r="7" spans="1:12" customHeight="1" ht="12.75">
      <c r="A7" s="208">
        <v>9000</v>
      </c>
      <c r="B7" s="209">
        <v>8999.91</v>
      </c>
      <c r="C7" s="209">
        <v>8999.905331</v>
      </c>
      <c r="D7" s="204" t="str">
        <f>ABS(C7-B7)</f>
        <v>0</v>
      </c>
    </row>
    <row r="8" spans="1:12" customHeight="1" ht="12.75">
      <c r="A8" s="208">
        <v>12000</v>
      </c>
      <c r="B8" s="209">
        <v>11999.88</v>
      </c>
      <c r="C8" s="209">
        <v>11999.863521</v>
      </c>
      <c r="D8" s="204" t="str">
        <f>ABS(C8-B8)</f>
        <v>0</v>
      </c>
    </row>
    <row r="9" spans="1:12" customHeight="1" ht="12.75">
      <c r="A9" s="208">
        <v>15000</v>
      </c>
      <c r="B9" s="209">
        <v>14999.86</v>
      </c>
      <c r="C9" s="209">
        <v>14999.843382</v>
      </c>
      <c r="D9" s="204" t="str">
        <f>ABS(C9-B9)</f>
        <v>0</v>
      </c>
    </row>
    <row r="10" spans="1:12" customHeight="1" ht="12.75">
      <c r="A10" s="208">
        <v>18000</v>
      </c>
      <c r="B10" s="209">
        <v>17999.84</v>
      </c>
      <c r="C10" s="209">
        <v>17999.823911</v>
      </c>
      <c r="D10" s="204" t="str">
        <f>ABS(C10-B10)</f>
        <v>0</v>
      </c>
    </row>
    <row r="11" spans="1:12" customHeight="1" ht="12.75">
      <c r="A11" s="208">
        <v>20000</v>
      </c>
      <c r="B11" s="209">
        <v>19999.82</v>
      </c>
      <c r="C11" s="209">
        <v>19999.794887</v>
      </c>
      <c r="D11" s="204" t="str">
        <f>ABS(C11-B11)</f>
        <v>0</v>
      </c>
    </row>
    <row r="12" spans="1:12" customHeight="1" ht="12.75">
      <c r="A12" s="208">
        <v>30000</v>
      </c>
      <c r="B12" s="209">
        <v>29999.63</v>
      </c>
      <c r="C12" s="209">
        <v>29999.6894</v>
      </c>
      <c r="D12" s="204" t="str">
        <f>ABS(C12-B12)</f>
        <v>0</v>
      </c>
    </row>
    <row r="13" spans="1:12" customHeight="1" ht="12.75">
      <c r="A13" s="208">
        <v>50000</v>
      </c>
      <c r="B13" s="209">
        <v>49999.47</v>
      </c>
      <c r="C13" s="209">
        <v>49999.489148</v>
      </c>
      <c r="D13" s="204" t="str">
        <f>ABS(C13-B13)</f>
        <v>0</v>
      </c>
    </row>
    <row r="14" spans="1:12" customHeight="1" ht="12.75">
      <c r="A14" s="208">
        <v>70000</v>
      </c>
      <c r="B14" s="209">
        <v>69999.34</v>
      </c>
      <c r="C14" s="209">
        <v>69999.276983</v>
      </c>
      <c r="D14" s="204" t="str">
        <f>ABS(C14-B14)</f>
        <v>0</v>
      </c>
    </row>
    <row r="15" spans="1:12" customHeight="1" ht="12.75">
      <c r="A15" s="208">
        <v>90000</v>
      </c>
      <c r="B15" s="209">
        <v>89999.10000000001</v>
      </c>
      <c r="C15" s="209">
        <v>89999.184337</v>
      </c>
      <c r="D15" s="204" t="str">
        <f>ABS(C15-B15)</f>
        <v>0</v>
      </c>
    </row>
    <row r="16" spans="1:12" customHeight="1" ht="12.75">
      <c r="B16" s="205"/>
    </row>
    <row r="17" spans="1:12" customHeight="1" ht="12.75">
      <c r="B17" s="205"/>
      <c r="C17" s="206" t="s">
        <v>167</v>
      </c>
      <c r="D17" s="204" t="str">
        <f>MAX(D2:D15)</f>
        <v>0</v>
      </c>
    </row>
    <row r="18" spans="1:12" customHeight="1" ht="12.75">
      <c r="L18">
        <v>10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11811024" right="0.511811024" top="0.787401575" bottom="0.787401575" header="0.31496062" footer="0.31496062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1 a 90000</vt:lpstr>
      <vt:lpstr>Deriva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2005-02-16T04:33:23-02:00</dcterms:created>
  <dcterms:modified xsi:type="dcterms:W3CDTF">2021-10-20T11:38:18-03:00</dcterms:modified>
  <dc:title>Untitled Spreadsheet</dc:title>
  <dc:description/>
  <dc:subject/>
  <cp:keywords/>
  <cp:category/>
</cp:coreProperties>
</file>